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G:\Shared drives\PRIME D+B\ACTIVE PROJECTS\Oceanside\712 Seagaze Dr\2) Financial\CDLAC\Application\"/>
    </mc:Choice>
  </mc:AlternateContent>
  <xr:revisionPtr revIDLastSave="0" documentId="13_ncr:1_{53DC4CD3-E98B-4A0C-968B-0F4C0EE37D97}" xr6:coauthVersionLast="47" xr6:coauthVersionMax="47" xr10:uidLastSave="{00000000-0000-0000-0000-000000000000}"/>
  <bookViews>
    <workbookView xWindow="1750" yWindow="260" windowWidth="34200" windowHeight="1955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4" l="1"/>
  <c r="C30" i="4"/>
  <c r="S10" i="4"/>
  <c r="S45" i="4" l="1"/>
  <c r="C89" i="4"/>
  <c r="C86" i="4"/>
  <c r="C32" i="4"/>
  <c r="AA918" i="3" l="1"/>
  <c r="AA917" i="3"/>
  <c r="F30" i="4"/>
  <c r="I99" i="4"/>
  <c r="E66" i="7"/>
  <c r="E67" i="7"/>
  <c r="W866" i="3"/>
  <c r="E41" i="7"/>
  <c r="W853" i="3"/>
  <c r="AC886" i="3"/>
  <c r="AF628" i="3"/>
  <c r="T628" i="3"/>
  <c r="Q628" i="3"/>
  <c r="Q627" i="3" l="1"/>
  <c r="S65" i="4"/>
  <c r="C52" i="4"/>
  <c r="C60" i="4"/>
  <c r="S92" i="4"/>
  <c r="S80" i="4"/>
  <c r="S90" i="4"/>
  <c r="S84" i="4"/>
  <c r="S51" i="4"/>
  <c r="S50" i="4"/>
  <c r="S43" i="4"/>
  <c r="S41" i="4"/>
  <c r="S40" i="4"/>
  <c r="C51" i="4"/>
  <c r="E92" i="4"/>
  <c r="E91" i="4"/>
  <c r="E90" i="4"/>
  <c r="E88" i="4"/>
  <c r="E87" i="4"/>
  <c r="E84" i="4"/>
  <c r="E83" i="4"/>
  <c r="E80" i="4"/>
  <c r="E75" i="4"/>
  <c r="E68" i="4"/>
  <c r="E65" i="4"/>
  <c r="E61" i="4"/>
  <c r="E59" i="4"/>
  <c r="E58" i="4"/>
  <c r="E57" i="4"/>
  <c r="E56" i="4"/>
  <c r="E50" i="4"/>
  <c r="E43" i="4"/>
  <c r="E41" i="4"/>
  <c r="E40" i="4"/>
  <c r="E36" i="4"/>
  <c r="E35" i="4"/>
  <c r="E30" i="4"/>
  <c r="F29" i="4"/>
  <c r="S34" i="4"/>
  <c r="S35" i="4"/>
  <c r="S36" i="4"/>
  <c r="S29" i="4"/>
  <c r="G76" i="4"/>
  <c r="G30" i="4"/>
  <c r="E13" i="4"/>
  <c r="F5" i="4"/>
  <c r="F4" i="4"/>
  <c r="W854" i="3" l="1"/>
  <c r="W846" i="3"/>
  <c r="AG442" i="3" l="1"/>
  <c r="AG448" i="3"/>
  <c r="K720" i="3"/>
  <c r="K719" i="3"/>
  <c r="K718" i="3"/>
  <c r="G647" i="3"/>
  <c r="AG446" i="3"/>
  <c r="AG443" i="3" l="1"/>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G67" i="21" s="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R70"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5" i="11"/>
  <c r="C36" i="11"/>
  <c r="C37" i="11"/>
  <c r="C38" i="11"/>
  <c r="B31"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D80" i="11" s="1"/>
  <c r="C81" i="11"/>
  <c r="D81" i="11" s="1"/>
  <c r="B80" i="11"/>
  <c r="B81" i="11"/>
  <c r="I96" i="13"/>
  <c r="J96" i="13"/>
  <c r="J81" i="13"/>
  <c r="I81" i="13"/>
  <c r="G81" i="13"/>
  <c r="F81" i="13"/>
  <c r="D81" i="13"/>
  <c r="C81" i="13"/>
  <c r="H80" i="13"/>
  <c r="E80" i="13"/>
  <c r="B80" i="13"/>
  <c r="R80" i="4"/>
  <c r="R79" i="4"/>
  <c r="S70" i="4"/>
  <c r="E70" i="13" s="1"/>
  <c r="D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7" i="13"/>
  <c r="E84" i="13"/>
  <c r="E65" i="13"/>
  <c r="E53" i="13"/>
  <c r="E51" i="13"/>
  <c r="E50" i="13"/>
  <c r="E49" i="13"/>
  <c r="E48" i="13"/>
  <c r="E47" i="13"/>
  <c r="E45" i="13"/>
  <c r="E43" i="13"/>
  <c r="E41" i="13"/>
  <c r="E40" i="13"/>
  <c r="E35" i="13"/>
  <c r="E34"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R90" i="4"/>
  <c r="R88" i="4"/>
  <c r="R87" i="4"/>
  <c r="R83" i="4"/>
  <c r="R76" i="4"/>
  <c r="R75" i="4"/>
  <c r="R72" i="4"/>
  <c r="R73" i="4"/>
  <c r="R74" i="4"/>
  <c r="R69" i="4"/>
  <c r="R65" i="4"/>
  <c r="R61" i="4"/>
  <c r="R59" i="4"/>
  <c r="R58" i="4"/>
  <c r="R57" i="4"/>
  <c r="R56" i="4"/>
  <c r="R53" i="4"/>
  <c r="R50" i="4"/>
  <c r="R49" i="4"/>
  <c r="R48" i="4"/>
  <c r="R47" i="4"/>
  <c r="R43" i="4"/>
  <c r="R41" i="4"/>
  <c r="R40" i="4"/>
  <c r="R35" i="4"/>
  <c r="R34"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B12" i="11" s="1"/>
  <c r="D12" i="11" s="1"/>
  <c r="C10" i="11"/>
  <c r="C11" i="11"/>
  <c r="B14" i="11"/>
  <c r="C14" i="11"/>
  <c r="D14" i="11" s="1"/>
  <c r="B15" i="11"/>
  <c r="C15" i="11"/>
  <c r="B16" i="11"/>
  <c r="C16" i="11"/>
  <c r="B18" i="11"/>
  <c r="C18" i="11"/>
  <c r="D18" i="11" s="1"/>
  <c r="B19" i="11"/>
  <c r="C19" i="11"/>
  <c r="B20" i="11"/>
  <c r="C20" i="11"/>
  <c r="B21" i="11"/>
  <c r="C21" i="11"/>
  <c r="B22" i="11"/>
  <c r="C22" i="11"/>
  <c r="D22" i="11" s="1"/>
  <c r="B23" i="11"/>
  <c r="C23" i="11"/>
  <c r="B24" i="11"/>
  <c r="B28" i="11"/>
  <c r="C28" i="11"/>
  <c r="B30" i="11"/>
  <c r="C30" i="11"/>
  <c r="D30" i="11"/>
  <c r="B41" i="11"/>
  <c r="C41" i="11"/>
  <c r="D41" i="11" s="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B63" i="11" s="1"/>
  <c r="C62" i="11"/>
  <c r="D62" i="11" s="1"/>
  <c r="B66" i="11"/>
  <c r="C66" i="11"/>
  <c r="B73" i="11"/>
  <c r="C73" i="11"/>
  <c r="B74" i="11"/>
  <c r="C74" i="11"/>
  <c r="B75" i="11"/>
  <c r="C75" i="11"/>
  <c r="B76" i="11"/>
  <c r="C76" i="11"/>
  <c r="B77" i="11"/>
  <c r="C77" i="11"/>
  <c r="B84" i="1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12" i="4" s="1"/>
  <c r="B12" i="13" s="1"/>
  <c r="B26" i="13"/>
  <c r="C54" i="4"/>
  <c r="B54" i="13" s="1"/>
  <c r="C62" i="4"/>
  <c r="B62" i="13" s="1"/>
  <c r="C77" i="4"/>
  <c r="B77" i="13" s="1"/>
  <c r="C96" i="4"/>
  <c r="B96" i="13" s="1"/>
  <c r="B104" i="13"/>
  <c r="D8" i="4"/>
  <c r="D11" i="4"/>
  <c r="D26" i="4"/>
  <c r="D38" i="4"/>
  <c r="D42" i="4"/>
  <c r="D54" i="4"/>
  <c r="D62" i="4"/>
  <c r="D77" i="4"/>
  <c r="D96" i="4"/>
  <c r="D104" i="4"/>
  <c r="B104" i="4"/>
  <c r="E26" i="13"/>
  <c r="S42" i="4"/>
  <c r="E42"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S30" i="4" s="1"/>
  <c r="E30" i="13" s="1"/>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E45" i="4" s="1"/>
  <c r="R45" i="4" s="1"/>
  <c r="B46" i="4"/>
  <c r="E46" i="4" s="1"/>
  <c r="R46" i="4" s="1"/>
  <c r="S46" i="4" s="1"/>
  <c r="E46" i="13" s="1"/>
  <c r="B47" i="4"/>
  <c r="B48" i="4"/>
  <c r="B49" i="4"/>
  <c r="B50" i="4"/>
  <c r="B51" i="4"/>
  <c r="E51" i="4" s="1"/>
  <c r="R51" i="4" s="1"/>
  <c r="B52" i="4"/>
  <c r="E52" i="4" s="1"/>
  <c r="R52" i="4" s="1"/>
  <c r="S52" i="4" s="1"/>
  <c r="B53" i="4"/>
  <c r="G54" i="4"/>
  <c r="H54" i="4"/>
  <c r="K54" i="4"/>
  <c r="L54" i="4"/>
  <c r="O54" i="4"/>
  <c r="Q54" i="4"/>
  <c r="B56" i="4"/>
  <c r="B57" i="4"/>
  <c r="B58" i="4"/>
  <c r="B60" i="4"/>
  <c r="E60" i="4" s="1"/>
  <c r="E62" i="4" s="1"/>
  <c r="B61"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E79" i="4" s="1"/>
  <c r="E81" i="4" s="1"/>
  <c r="B83" i="4"/>
  <c r="B84" i="4"/>
  <c r="B85" i="4"/>
  <c r="E85" i="4" s="1"/>
  <c r="R85" i="4" s="1"/>
  <c r="S85" i="4" s="1"/>
  <c r="E85" i="13" s="1"/>
  <c r="B86" i="4"/>
  <c r="E86" i="4" s="1"/>
  <c r="B87" i="4"/>
  <c r="B88" i="4"/>
  <c r="B89" i="4"/>
  <c r="E89" i="4" s="1"/>
  <c r="R89" i="4" s="1"/>
  <c r="S89" i="4" s="1"/>
  <c r="E89" i="13" s="1"/>
  <c r="B90" i="4"/>
  <c r="B91" i="4"/>
  <c r="B92" i="4"/>
  <c r="B93" i="4"/>
  <c r="B94" i="4"/>
  <c r="B95"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52" i="11"/>
  <c r="I12" i="4"/>
  <c r="G12" i="4"/>
  <c r="D46" i="11"/>
  <c r="D6" i="11"/>
  <c r="L63" i="4"/>
  <c r="L97" i="4"/>
  <c r="L105" i="4"/>
  <c r="Q12" i="4"/>
  <c r="O63" i="4"/>
  <c r="O97" i="4"/>
  <c r="O105" i="4"/>
  <c r="B8" i="4"/>
  <c r="N187" i="27" s="1"/>
  <c r="D10" i="11"/>
  <c r="D36" i="11"/>
  <c r="G63" i="13"/>
  <c r="G97" i="13"/>
  <c r="G105" i="13"/>
  <c r="G107" i="13"/>
  <c r="D61" i="11"/>
  <c r="D57" i="11"/>
  <c r="D20" i="11"/>
  <c r="D8" i="11"/>
  <c r="D85" i="11"/>
  <c r="B43" i="11"/>
  <c r="D102" i="11"/>
  <c r="D94" i="11"/>
  <c r="K12" i="4"/>
  <c r="C12" i="13"/>
  <c r="D63" i="4"/>
  <c r="D97" i="4"/>
  <c r="D105" i="4"/>
  <c r="B78" i="11"/>
  <c r="D7" i="11"/>
  <c r="F63" i="4"/>
  <c r="F97" i="4" s="1"/>
  <c r="F105" i="4" s="1"/>
  <c r="J12" i="4"/>
  <c r="O12" i="4"/>
  <c r="I63" i="4"/>
  <c r="I97" i="4"/>
  <c r="I105" i="4"/>
  <c r="D95" i="11"/>
  <c r="D25" i="11"/>
  <c r="B82" i="11"/>
  <c r="B11" i="13"/>
  <c r="D12" i="4"/>
  <c r="H12" i="4"/>
  <c r="B9" i="11"/>
  <c r="D9" i="11" s="1"/>
  <c r="D23" i="11"/>
  <c r="D19" i="11"/>
  <c r="D89" i="11"/>
  <c r="D73" i="11"/>
  <c r="D44" i="11"/>
  <c r="D35" i="11"/>
  <c r="D76" i="11"/>
  <c r="D31" i="11"/>
  <c r="D15" i="11"/>
  <c r="D63" i="13"/>
  <c r="D97" i="13"/>
  <c r="D105" i="13"/>
  <c r="Q63" i="4"/>
  <c r="Q97" i="4"/>
  <c r="Q105" i="4"/>
  <c r="D87" i="11"/>
  <c r="N63" i="4"/>
  <c r="N97" i="4"/>
  <c r="N105" i="4"/>
  <c r="N12" i="4"/>
  <c r="H63" i="4"/>
  <c r="H97" i="4"/>
  <c r="H105" i="4"/>
  <c r="F12" i="4"/>
  <c r="D60" i="11"/>
  <c r="M12" i="4"/>
  <c r="R8" i="4"/>
  <c r="D84" i="11"/>
  <c r="D74" i="11"/>
  <c r="D59" i="11"/>
  <c r="D38" i="11"/>
  <c r="R42" i="4"/>
  <c r="P63" i="4"/>
  <c r="P97" i="4"/>
  <c r="P105" i="4"/>
  <c r="C9" i="11"/>
  <c r="C13" i="11" s="1"/>
  <c r="D12" i="13"/>
  <c r="D58" i="11"/>
  <c r="D24" i="11"/>
  <c r="D101" i="11"/>
  <c r="D90" i="11"/>
  <c r="D66" i="11"/>
  <c r="C63" i="13"/>
  <c r="C97" i="13"/>
  <c r="C105" i="13"/>
  <c r="D92" i="11"/>
  <c r="D75" i="11"/>
  <c r="B71" i="11"/>
  <c r="D28" i="11"/>
  <c r="D103" i="11"/>
  <c r="D88" i="11"/>
  <c r="C78" i="11"/>
  <c r="D42" i="11"/>
  <c r="D21" i="11"/>
  <c r="D16" i="11"/>
  <c r="R26" i="4"/>
  <c r="D86" i="11"/>
  <c r="B55" i="11"/>
  <c r="F63" i="13"/>
  <c r="F97" i="13"/>
  <c r="F105" i="13"/>
  <c r="F107" i="13"/>
  <c r="AD199" i="20"/>
  <c r="B42" i="4"/>
  <c r="D77" i="11"/>
  <c r="D47" i="11"/>
  <c r="C71" i="11"/>
  <c r="D71" i="11" s="1"/>
  <c r="M63" i="4"/>
  <c r="M97" i="4"/>
  <c r="M105" i="4"/>
  <c r="R104" i="4"/>
  <c r="G63" i="4"/>
  <c r="G97" i="4" s="1"/>
  <c r="G105" i="4" s="1"/>
  <c r="D91" i="11"/>
  <c r="J63" i="4"/>
  <c r="J97" i="4"/>
  <c r="J105" i="4"/>
  <c r="C12" i="11"/>
  <c r="K63" i="4"/>
  <c r="K97" i="4"/>
  <c r="K105" i="4"/>
  <c r="B105" i="11"/>
  <c r="D104" i="11"/>
  <c r="T63" i="4"/>
  <c r="T97" i="4"/>
  <c r="D11" i="11"/>
  <c r="B97" i="11"/>
  <c r="H63" i="13"/>
  <c r="T105" i="4"/>
  <c r="H97" i="13"/>
  <c r="D96" i="11"/>
  <c r="C97" i="11"/>
  <c r="T107" i="4"/>
  <c r="H105" i="13"/>
  <c r="H107" i="13"/>
  <c r="AD11" i="15"/>
  <c r="AZ846" i="3"/>
  <c r="B11" i="4" l="1"/>
  <c r="E96" i="4"/>
  <c r="R81" i="4"/>
  <c r="S79" i="4"/>
  <c r="C82" i="11"/>
  <c r="R37" i="4"/>
  <c r="S37" i="4"/>
  <c r="E37" i="13" s="1"/>
  <c r="R86" i="4"/>
  <c r="S86" i="4" s="1"/>
  <c r="D105" i="11"/>
  <c r="K53" i="7"/>
  <c r="I58" i="7"/>
  <c r="S104" i="4"/>
  <c r="E104" i="13" s="1"/>
  <c r="E52" i="13"/>
  <c r="S54" i="4"/>
  <c r="E54" i="13" s="1"/>
  <c r="R54" i="4"/>
  <c r="R60" i="4"/>
  <c r="R62" i="4" s="1"/>
  <c r="C55" i="11"/>
  <c r="D55" i="11" s="1"/>
  <c r="E54" i="4"/>
  <c r="D100" i="11"/>
  <c r="R77" i="4"/>
  <c r="D82" i="11"/>
  <c r="R12" i="4"/>
  <c r="C63" i="11"/>
  <c r="D63" i="11" s="1"/>
  <c r="B96" i="4"/>
  <c r="D97" i="11"/>
  <c r="B62" i="4"/>
  <c r="B54" i="4"/>
  <c r="D78" i="11"/>
  <c r="N186" i="27"/>
  <c r="N193" i="27" s="1"/>
  <c r="C43" i="11"/>
  <c r="D43" i="11" s="1"/>
  <c r="C27" i="11"/>
  <c r="B13" i="11"/>
  <c r="D13" i="11" s="1"/>
  <c r="B12" i="4"/>
  <c r="AF1013" i="3"/>
  <c r="AD23" i="15"/>
  <c r="AD26" i="15"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P24" i="21" a="1"/>
  <c r="P24" i="21" s="1"/>
  <c r="O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E79" i="13" l="1"/>
  <c r="S81" i="4"/>
  <c r="E81" i="13" s="1"/>
  <c r="R96" i="4"/>
  <c r="S96" i="4"/>
  <c r="E96" i="13" s="1"/>
  <c r="E86" i="13"/>
  <c r="M53" i="7"/>
  <c r="K58" i="7"/>
  <c r="DX635" i="3"/>
  <c r="BH702" i="3"/>
  <c r="BH701" i="3"/>
  <c r="BI701" i="3" s="1"/>
  <c r="BU669" i="3"/>
  <c r="BU677" i="3"/>
  <c r="BU685" i="3"/>
  <c r="BU693" i="3"/>
  <c r="BV693" i="3" s="1"/>
  <c r="BU702" i="3"/>
  <c r="BU670" i="3"/>
  <c r="BV670" i="3" s="1"/>
  <c r="BU678" i="3"/>
  <c r="BV678" i="3" s="1"/>
  <c r="BU686" i="3"/>
  <c r="BV686" i="3" s="1"/>
  <c r="BU694" i="3"/>
  <c r="BU668" i="3"/>
  <c r="BU671" i="3"/>
  <c r="BU679" i="3"/>
  <c r="BV679" i="3" s="1"/>
  <c r="BU687" i="3"/>
  <c r="BU695" i="3"/>
  <c r="BV695" i="3" s="1"/>
  <c r="BU681" i="3"/>
  <c r="BV681" i="3" s="1"/>
  <c r="BU689" i="3"/>
  <c r="BU698" i="3"/>
  <c r="BU684" i="3"/>
  <c r="BU700" i="3"/>
  <c r="BV700" i="3" s="1"/>
  <c r="BU672" i="3"/>
  <c r="BV672" i="3" s="1"/>
  <c r="BU680" i="3"/>
  <c r="BU688" i="3"/>
  <c r="BV688" i="3" s="1"/>
  <c r="BU696" i="3"/>
  <c r="BV696" i="3" s="1"/>
  <c r="BU673" i="3"/>
  <c r="BU697" i="3"/>
  <c r="BU674" i="3"/>
  <c r="BU682" i="3"/>
  <c r="BU690" i="3"/>
  <c r="BU676" i="3"/>
  <c r="BU692" i="3"/>
  <c r="BV692" i="3" s="1"/>
  <c r="BU675" i="3"/>
  <c r="BV675" i="3" s="1"/>
  <c r="BU683" i="3"/>
  <c r="BU691" i="3"/>
  <c r="BU699" i="3"/>
  <c r="BH674" i="3"/>
  <c r="BH675" i="3"/>
  <c r="BI675" i="3" s="1"/>
  <c r="BH683" i="3"/>
  <c r="BI683" i="3" s="1"/>
  <c r="BH691" i="3"/>
  <c r="BI691" i="3" s="1"/>
  <c r="BH699" i="3"/>
  <c r="BI699" i="3" s="1"/>
  <c r="BH676" i="3"/>
  <c r="BH684" i="3"/>
  <c r="BH692" i="3"/>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H668" i="3"/>
  <c r="BH679" i="3"/>
  <c r="BI679" i="3" s="1"/>
  <c r="BH695" i="3"/>
  <c r="BI695" i="3" s="1"/>
  <c r="BH680" i="3"/>
  <c r="BI680" i="3" s="1"/>
  <c r="BH682" i="3"/>
  <c r="BI682" i="3" s="1"/>
  <c r="BH698" i="3"/>
  <c r="BI698" i="3" s="1"/>
  <c r="BH673" i="3"/>
  <c r="BH681" i="3"/>
  <c r="BH689" i="3"/>
  <c r="BH697" i="3"/>
  <c r="BI697" i="3" s="1"/>
  <c r="E22" i="7"/>
  <c r="BI702" i="3"/>
  <c r="BI671" i="3"/>
  <c r="BI694"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8" i="3"/>
  <c r="BI681" i="3"/>
  <c r="BI674" i="3"/>
  <c r="BI686" i="3"/>
  <c r="BI689" i="3"/>
  <c r="EH637" i="3"/>
  <c r="DR657" i="3"/>
  <c r="EM632" i="3"/>
  <c r="EM635" i="3"/>
  <c r="BI676" i="3"/>
  <c r="EM643" i="3"/>
  <c r="E6" i="7"/>
  <c r="K15" i="7"/>
  <c r="I22" i="7"/>
  <c r="I35" i="7" s="1"/>
  <c r="E27" i="21"/>
  <c r="G22" i="21"/>
  <c r="O53" i="7" l="1"/>
  <c r="M58" i="7"/>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3" i="7" l="1"/>
  <c r="O58" i="7"/>
  <c r="G38" i="21"/>
  <c r="G40" i="21" s="1"/>
  <c r="E10" i="21" s="1"/>
  <c r="AP694" i="20"/>
  <c r="AP695" i="20"/>
  <c r="I4" i="7"/>
  <c r="I5" i="7" s="1"/>
  <c r="K9" i="7"/>
  <c r="E11" i="7"/>
  <c r="E37" i="7" s="1"/>
  <c r="AJ991" i="3"/>
  <c r="E132" i="20"/>
  <c r="E133" i="20" s="1"/>
  <c r="AK137" i="20" s="1"/>
  <c r="T796" i="20" s="1"/>
  <c r="AF796" i="20" s="1"/>
  <c r="AB990" i="3"/>
  <c r="CS660" i="3"/>
  <c r="U362" i="20" s="1"/>
  <c r="P421" i="3"/>
  <c r="I6" i="7"/>
  <c r="G7" i="7"/>
  <c r="G11" i="7" s="1"/>
  <c r="G37" i="7" s="1"/>
  <c r="M22" i="7"/>
  <c r="M35" i="7" s="1"/>
  <c r="O15" i="7"/>
  <c r="M9" i="7"/>
  <c r="O8" i="7"/>
  <c r="G25" i="21"/>
  <c r="F24" i="21"/>
  <c r="S53" i="7" l="1"/>
  <c r="Q58" i="7"/>
  <c r="E49" i="7"/>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U53" i="7" l="1"/>
  <c r="S58" i="7"/>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W53" i="7"/>
  <c r="K11" i="7"/>
  <c r="K37" i="7" s="1"/>
  <c r="K45" i="7" s="1"/>
  <c r="O5" i="7"/>
  <c r="Q4" i="7"/>
  <c r="M7" i="7"/>
  <c r="M11" i="7" s="1"/>
  <c r="M37" i="7" s="1"/>
  <c r="O6" i="7"/>
  <c r="G67" i="7"/>
  <c r="G62" i="7"/>
  <c r="G66" i="7"/>
  <c r="I48" i="7"/>
  <c r="I60" i="7"/>
  <c r="I47" i="7"/>
  <c r="G69" i="21"/>
  <c r="G81" i="21"/>
  <c r="G65" i="21"/>
  <c r="S22" i="7"/>
  <c r="S35" i="7" s="1"/>
  <c r="U15" i="7"/>
  <c r="E14" i="21"/>
  <c r="E15" i="21" s="1"/>
  <c r="U8" i="7"/>
  <c r="S9" i="7"/>
  <c r="Y53" i="7" l="1"/>
  <c r="W58" i="7"/>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A53" i="7" l="1"/>
  <c r="Y58" i="7"/>
  <c r="U4" i="7"/>
  <c r="S5" i="7"/>
  <c r="M48" i="7"/>
  <c r="M47" i="7"/>
  <c r="M60" i="7"/>
  <c r="O45" i="7"/>
  <c r="O49" i="7"/>
  <c r="K66" i="7"/>
  <c r="K67" i="7"/>
  <c r="K62" i="7"/>
  <c r="Q7" i="7"/>
  <c r="Q11" i="7" s="1"/>
  <c r="Q37" i="7" s="1"/>
  <c r="S6" i="7"/>
  <c r="I70" i="7"/>
  <c r="I72" i="7" s="1"/>
  <c r="W22" i="7"/>
  <c r="W35" i="7" s="1"/>
  <c r="Y15" i="7"/>
  <c r="W9" i="7"/>
  <c r="Y8" i="7"/>
  <c r="AC53" i="7" l="1"/>
  <c r="AA58" i="7"/>
  <c r="U5" i="7"/>
  <c r="W4" i="7"/>
  <c r="Q49" i="7"/>
  <c r="Q45" i="7"/>
  <c r="M62" i="7"/>
  <c r="M67" i="7"/>
  <c r="M66" i="7"/>
  <c r="O47" i="7"/>
  <c r="O48" i="7"/>
  <c r="O60" i="7"/>
  <c r="K70" i="7"/>
  <c r="K72" i="7" s="1"/>
  <c r="S7" i="7"/>
  <c r="S11" i="7" s="1"/>
  <c r="S37" i="7" s="1"/>
  <c r="U6" i="7"/>
  <c r="Y22" i="7"/>
  <c r="Y35" i="7" s="1"/>
  <c r="AA15" i="7"/>
  <c r="Y9" i="7"/>
  <c r="AA8" i="7"/>
  <c r="AE53" i="7" l="1"/>
  <c r="AC58" i="7"/>
  <c r="M70" i="7"/>
  <c r="M72" i="7" s="1"/>
  <c r="W5" i="7"/>
  <c r="Y4" i="7"/>
  <c r="U7" i="7"/>
  <c r="U11" i="7" s="1"/>
  <c r="U37" i="7" s="1"/>
  <c r="W6" i="7"/>
  <c r="O67" i="7"/>
  <c r="O66" i="7"/>
  <c r="O62" i="7"/>
  <c r="Q60" i="7"/>
  <c r="Q48" i="7"/>
  <c r="Q47" i="7"/>
  <c r="S49" i="7"/>
  <c r="S45" i="7"/>
  <c r="AC15" i="7"/>
  <c r="AA22" i="7"/>
  <c r="AA35" i="7" s="1"/>
  <c r="AC8" i="7"/>
  <c r="AA9" i="7"/>
  <c r="AG53" i="7" l="1"/>
  <c r="AG58" i="7" s="1"/>
  <c r="AE58" i="7"/>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B33" i="11" l="1"/>
  <c r="C33" i="11"/>
  <c r="D33" i="11" s="1"/>
  <c r="B32" i="13"/>
  <c r="B31" i="4"/>
  <c r="E31" i="4" s="1"/>
  <c r="B31" i="13"/>
  <c r="B32" i="4"/>
  <c r="E32" i="4" s="1"/>
  <c r="R32" i="4" s="1"/>
  <c r="C33" i="4"/>
  <c r="B33" i="4" s="1"/>
  <c r="S32" i="4" l="1"/>
  <c r="E32" i="13" s="1"/>
  <c r="C38" i="4"/>
  <c r="B38" i="13" s="1"/>
  <c r="R31" i="4"/>
  <c r="E33" i="4"/>
  <c r="R33" i="4" s="1"/>
  <c r="S33" i="4"/>
  <c r="E33" i="13" s="1"/>
  <c r="B33" i="13"/>
  <c r="C32" i="11"/>
  <c r="S31" i="4"/>
  <c r="B32" i="11"/>
  <c r="C34" i="11"/>
  <c r="D34" i="11" s="1"/>
  <c r="B34" i="11"/>
  <c r="B38" i="4" l="1"/>
  <c r="B63" i="4" s="1"/>
  <c r="C63" i="4"/>
  <c r="B63" i="13" s="1"/>
  <c r="D32" i="11"/>
  <c r="C39" i="11"/>
  <c r="B39" i="11"/>
  <c r="B64" i="11" s="1"/>
  <c r="B98" i="11" s="1"/>
  <c r="B106" i="11" s="1"/>
  <c r="R38" i="4"/>
  <c r="R63" i="4" s="1"/>
  <c r="R97" i="4" s="1"/>
  <c r="R105" i="4" s="1"/>
  <c r="E31" i="13"/>
  <c r="S38" i="4"/>
  <c r="E38" i="4"/>
  <c r="E63" i="4" s="1"/>
  <c r="E97" i="4" s="1"/>
  <c r="E105" i="4" s="1"/>
  <c r="C97" i="4" l="1"/>
  <c r="C105" i="4" s="1"/>
  <c r="E38" i="13"/>
  <c r="S63" i="4"/>
  <c r="C64" i="11"/>
  <c r="D39" i="11"/>
  <c r="B97" i="13" l="1"/>
  <c r="B97" i="4"/>
  <c r="S97" i="4"/>
  <c r="E63" i="13"/>
  <c r="AG258" i="20"/>
  <c r="B105" i="4"/>
  <c r="AC455" i="3"/>
  <c r="B105" i="13"/>
  <c r="D64" i="11"/>
  <c r="C98" i="11"/>
  <c r="AB255" i="20" l="1"/>
  <c r="AG257" i="20" s="1"/>
  <c r="AG259" i="20" s="1"/>
  <c r="AK262" i="20" s="1"/>
  <c r="T801" i="20" s="1"/>
  <c r="AF801" i="20" s="1"/>
  <c r="AC454" i="3"/>
  <c r="F457" i="3" s="1"/>
  <c r="N183" i="27"/>
  <c r="AB47" i="15"/>
  <c r="AB49" i="15" s="1"/>
  <c r="C106" i="11"/>
  <c r="D106" i="11" s="1"/>
  <c r="D98" i="11"/>
  <c r="S105" i="4"/>
  <c r="E97" i="13"/>
  <c r="AB54" i="15" l="1"/>
  <c r="AB55" i="15" s="1"/>
  <c r="S107" i="4"/>
  <c r="E105" i="13"/>
  <c r="N184" i="27"/>
  <c r="N194" i="27"/>
  <c r="AF540" i="20" l="1"/>
  <c r="AF542" i="20" s="1"/>
  <c r="AK548" i="20" s="1"/>
  <c r="T807" i="20" s="1"/>
  <c r="AF807" i="20" s="1"/>
  <c r="AF810" i="20" s="1"/>
  <c r="AC456" i="3"/>
  <c r="E107" i="13"/>
  <c r="Y11" i="15" l="1"/>
  <c r="Y23" i="15" s="1"/>
  <c r="Y26" i="15" s="1"/>
  <c r="Y28" i="15" s="1"/>
  <c r="T11" i="15"/>
  <c r="T23" i="15" s="1"/>
  <c r="AD38" i="15" l="1"/>
  <c r="AD40" i="15" s="1"/>
  <c r="T26" i="15"/>
  <c r="T28" i="15" s="1"/>
  <c r="T29" i="15" s="1"/>
  <c r="Y64" i="15"/>
  <c r="Y68" i="15" s="1"/>
  <c r="Y69" i="15" s="1"/>
  <c r="Y38" i="15" l="1"/>
  <c r="Y40" i="15" s="1"/>
  <c r="Y41" i="15" s="1"/>
  <c r="AB56" i="15" s="1"/>
  <c r="AB57" i="15" l="1"/>
  <c r="M26" i="3"/>
  <c r="P204" i="3" s="1"/>
  <c r="AB59" i="15" l="1"/>
  <c r="AB77" i="15" s="1"/>
  <c r="AB78" i="15" s="1"/>
  <c r="M27" i="3" l="1"/>
  <c r="P205" i="3" s="1"/>
  <c r="AB79" i="15"/>
  <c r="AB81" i="15" s="1"/>
  <c r="J82" i="15"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<sst xmlns="http://schemas.openxmlformats.org/spreadsheetml/2006/main" count="5278" uniqueCount="2767">
  <si>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</si>
  <si>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</si>
  <si>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</si>
  <si>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</si>
  <si>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</si>
  <si>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</si>
  <si>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</si>
  <si>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</si>
  <si>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</si>
  <si>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</si>
  <si>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</si>
  <si>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</si>
  <si>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</si>
  <si>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</si>
  <si>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</si>
  <si>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</si>
  <si>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</si>
  <si>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</si>
  <si>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</si>
  <si>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</si>
  <si>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</si>
  <si>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</si>
  <si>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</si>
  <si>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</si>
  <si>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</si>
  <si>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</si>
  <si>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</si>
  <si>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</si>
  <si>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</si>
  <si>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</si>
  <si>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</si>
  <si>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</si>
  <si>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</si>
  <si>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</si>
  <si>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</si>
  <si>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</si>
  <si>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</si>
  <si>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</si>
  <si>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</si>
  <si>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</si>
  <si>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</si>
  <si>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</si>
  <si>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</si>
  <si>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</si>
  <si>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</si>
  <si>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</si>
  <si>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</si>
  <si>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</si>
  <si>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</si>
  <si>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</si>
  <si>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</si>
  <si>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</si>
  <si>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</si>
  <si>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</si>
  <si>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</si>
  <si>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</si>
  <si>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</si>
  <si>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</si>
  <si>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</si>
  <si>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</si>
  <si>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</si>
  <si>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</si>
  <si>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</si>
  <si>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</si>
  <si>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</si>
  <si>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</si>
  <si>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</si>
  <si>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</si>
  <si>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</si>
  <si>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</si>
  <si>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</si>
  <si>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</si>
  <si>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</si>
  <si>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</si>
  <si>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</si>
  <si>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</si>
  <si>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</si>
  <si>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</si>
  <si>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</si>
  <si>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</si>
  <si>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</si>
  <si>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</si>
  <si>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</si>
  <si>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</si>
  <si>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</si>
  <si>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</si>
  <si>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</si>
  <si>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</si>
  <si>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</si>
  <si>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</si>
  <si>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</si>
  <si>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</si>
  <si>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</si>
  <si>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</si>
  <si>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</si>
  <si>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</si>
  <si>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</si>
  <si>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</si>
  <si>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</si>
  <si>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</si>
  <si>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</si>
  <si>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</si>
  <si>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</si>
  <si>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</si>
  <si>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</si>
  <si>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</si>
  <si>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</si>
  <si>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</si>
  <si>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</si>
  <si>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</si>
  <si>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</si>
  <si>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</si>
  <si>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</si>
  <si>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</si>
  <si>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</si>
  <si>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</si>
  <si>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</si>
  <si>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</si>
  <si>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</si>
  <si>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</si>
  <si>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</si>
  <si>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</si>
  <si>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</si>
  <si>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</si>
  <si>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</si>
  <si>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</si>
  <si>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</si>
  <si>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</si>
  <si>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</si>
  <si>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</si>
  <si>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</si>
  <si>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</si>
  <si>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</si>
  <si>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</si>
  <si>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</si>
  <si>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</si>
  <si>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</si>
  <si>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</si>
  <si>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</si>
  <si>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</si>
  <si>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</si>
  <si>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</si>
  <si>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</si>
  <si>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</si>
  <si>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</si>
  <si>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</si>
  <si>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</si>
  <si>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</si>
  <si>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</si>
  <si>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</si>
  <si>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</si>
  <si>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</si>
  <si>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</si>
  <si>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</si>
  <si>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</si>
  <si>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</si>
  <si>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</si>
  <si>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</si>
  <si>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</si>
  <si>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</si>
  <si>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</si>
  <si>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</si>
  <si>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</si>
  <si>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</si>
  <si>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</si>
  <si>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</si>
  <si>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</si>
  <si>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</si>
  <si>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</si>
  <si>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</si>
  <si>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</si>
  <si>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</si>
  <si>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</si>
  <si>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</si>
  <si>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</si>
  <si>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</si>
  <si>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</si>
  <si>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</si>
  <si>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</si>
  <si>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</si>
  <si>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</si>
  <si>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</si>
  <si>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</si>
  <si>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</si>
  <si>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</si>
  <si>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</si>
  <si>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</si>
  <si>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</si>
  <si>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</si>
  <si>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</si>
  <si>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</si>
  <si>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</si>
  <si>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</si>
  <si>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</si>
  <si>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</si>
  <si>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</si>
  <si>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</si>
  <si>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</si>
  <si>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</si>
  <si>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</si>
  <si>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</si>
  <si>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</si>
  <si>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</si>
  <si>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</si>
  <si>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</si>
  <si>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</si>
  <si>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</si>
  <si>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</si>
  <si>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</si>
  <si>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</si>
  <si>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</si>
  <si>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</si>
  <si>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</si>
  <si>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</si>
  <si>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</si>
  <si>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</si>
  <si>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</si>
  <si>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</si>
  <si>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</si>
  <si>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</si>
  <si>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</si>
  <si>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</si>
  <si>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</si>
  <si>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</si>
  <si>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</si>
  <si>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</si>
  <si>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</si>
  <si>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</si>
  <si>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</si>
  <si>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</si>
  <si>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</si>
  <si>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</si>
  <si>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</si>
  <si>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</si>
  <si>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</si>
  <si>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</si>
  <si>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</si>
  <si>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</si>
  <si>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</si>
  <si>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</si>
  <si>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</si>
  <si>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</si>
  <si>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</si>
  <si>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</si>
  <si>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</si>
  <si>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</si>
  <si>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</si>
  <si>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</si>
  <si>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</si>
  <si>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</si>
  <si>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</si>
  <si>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</si>
  <si>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</si>
  <si>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</si>
  <si>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</si>
  <si>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</si>
  <si>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</si>
  <si>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</si>
  <si>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</si>
  <si>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</si>
  <si>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</si>
  <si>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</si>
  <si>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</si>
  <si>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</si>
  <si>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</si>
  <si>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</si>
  <si>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</si>
  <si>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</si>
  <si>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</si>
  <si>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</si>
  <si>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</si>
  <si>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</si>
  <si>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</si>
  <si>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</si>
  <si>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</si>
  <si>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</si>
  <si>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</si>
  <si>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</si>
  <si>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</si>
  <si>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</si>
  <si>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</si>
  <si>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</si>
  <si>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</si>
  <si>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</si>
  <si>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</si>
  <si>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</si>
  <si>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</si>
  <si>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</si>
  <si>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</si>
  <si>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</si>
  <si>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</si>
  <si>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</si>
  <si>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</si>
  <si>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</si>
  <si>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</si>
  <si>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</si>
  <si>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</si>
  <si>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</si>
  <si>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</si>
  <si>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</si>
  <si>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</si>
  <si>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</si>
  <si>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</si>
  <si>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</si>
  <si>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</si>
  <si>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</si>
  <si>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</si>
  <si>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</si>
  <si>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</si>
  <si>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</si>
  <si>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</si>
  <si>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</si>
  <si>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</si>
  <si>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</si>
  <si>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</si>
  <si>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</si>
  <si>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</si>
  <si>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</si>
  <si>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</si>
  <si>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</si>
  <si>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</si>
  <si>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</si>
  <si>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</si>
  <si>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</si>
  <si>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</si>
  <si>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</si>
  <si>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</si>
  <si>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</si>
  <si>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</si>
  <si>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</si>
  <si>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</si>
  <si>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</si>
  <si>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</si>
  <si>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</si>
  <si>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</si>
  <si>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</si>
  <si>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</si>
  <si>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</si>
  <si>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</si>
  <si>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</si>
  <si>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</si>
  <si>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</si>
  <si>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</si>
  <si>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</si>
  <si>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</si>
  <si>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</si>
  <si>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</si>
  <si>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</si>
  <si>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</si>
  <si>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</si>
  <si>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</si>
  <si>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</si>
  <si>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</si>
  <si>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</si>
  <si>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</si>
  <si>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</si>
  <si>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</si>
  <si>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</si>
  <si>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</si>
  <si>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</si>
  <si>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</si>
  <si>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</si>
  <si>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</si>
  <si>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</si>
  <si>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</si>
  <si>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</si>
  <si>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</si>
  <si>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</si>
  <si>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</si>
  <si>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</si>
  <si>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</si>
  <si>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</si>
  <si>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</si>
  <si>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</si>
  <si>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</si>
  <si>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</si>
  <si>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</si>
  <si>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</si>
  <si>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</si>
  <si>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</si>
  <si>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</si>
  <si>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</si>
  <si>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</si>
  <si>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</si>
  <si>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</si>
  <si>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</si>
  <si>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</si>
  <si>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</si>
  <si>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</si>
  <si>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</si>
  <si>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</si>
  <si>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</si>
  <si>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</si>
  <si>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</si>
  <si>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</si>
  <si>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</si>
  <si>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</si>
  <si>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</si>
  <si>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</si>
  <si>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</si>
  <si>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</si>
  <si>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</si>
  <si>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</si>
  <si>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</si>
  <si>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</si>
  <si>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</si>
  <si>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</si>
  <si>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</si>
  <si>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</si>
  <si>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</si>
  <si>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</si>
  <si>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</si>
  <si>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</si>
  <si>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</si>
  <si>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</si>
  <si>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</si>
  <si>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</si>
  <si>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</si>
  <si>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</si>
  <si>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</si>
  <si>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</si>
  <si>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</si>
  <si>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</si>
  <si>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</si>
  <si>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</si>
  <si>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</si>
  <si>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</si>
  <si>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</si>
  <si>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</si>
  <si>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</si>
  <si>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</si>
  <si>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</si>
  <si>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</si>
  <si>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</si>
  <si>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</si>
  <si>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</si>
  <si>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</si>
  <si>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</si>
  <si>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</si>
  <si>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</si>
  <si>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</si>
  <si>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</si>
  <si>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</si>
  <si>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</si>
  <si>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</si>
  <si>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</si>
  <si>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</si>
  <si>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</si>
  <si>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</si>
  <si>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</si>
  <si>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</si>
  <si>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</si>
  <si>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</si>
  <si>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</si>
  <si>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</si>
  <si>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</si>
  <si>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</si>
  <si>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</si>
  <si>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</si>
  <si>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</si>
  <si>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</si>
  <si>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</si>
  <si>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</si>
  <si>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</si>
  <si>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</si>
  <si>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</si>
  <si>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</si>
  <si>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</si>
  <si>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</si>
  <si>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</si>
  <si>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</si>
  <si>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</si>
  <si>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</si>
  <si>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</si>
  <si>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</si>
  <si>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</si>
  <si>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</si>
  <si>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</si>
  <si>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</si>
  <si>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</si>
  <si>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</si>
  <si>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</si>
  <si>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</si>
  <si>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</si>
  <si>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</si>
  <si>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</si>
  <si>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</si>
  <si>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</si>
  <si>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</si>
  <si>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</si>
  <si>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</si>
  <si>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</si>
  <si>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</si>
  <si>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</si>
  <si>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</si>
  <si>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</si>
  <si>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</si>
  <si>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</si>
  <si>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</si>
  <si>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</si>
  <si>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</si>
  <si>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</si>
  <si>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</si>
  <si>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</si>
  <si>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</si>
  <si>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</si>
  <si>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</si>
  <si>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</si>
  <si>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</si>
  <si>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</si>
  <si>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</si>
  <si>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</si>
  <si>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</si>
  <si>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</si>
  <si>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</si>
  <si>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</si>
  <si>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</si>
  <si>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</si>
  <si>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</si>
  <si>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</si>
  <si>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</si>
  <si>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</si>
  <si>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</si>
  <si>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</si>
  <si>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</si>
  <si>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</si>
  <si>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</si>
  <si>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</si>
  <si>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</si>
  <si>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</si>
  <si>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</si>
  <si>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</si>
  <si>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</si>
  <si>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</si>
  <si>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</si>
  <si>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</si>
  <si>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</si>
  <si>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</si>
  <si>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</si>
  <si>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</si>
  <si>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</si>
  <si>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</si>
  <si>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</si>
  <si>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</si>
  <si>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</si>
  <si>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</si>
  <si>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</si>
  <si>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</si>
  <si>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</si>
  <si>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</si>
  <si>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</si>
  <si>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</si>
  <si>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</si>
  <si>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</si>
  <si>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</si>
  <si>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</si>
  <si>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</si>
  <si>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</si>
  <si>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</si>
  <si>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</si>
  <si>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</si>
  <si>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</si>
  <si>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</si>
  <si>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</si>
  <si>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</si>
  <si>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</si>
  <si>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</si>
  <si>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</si>
  <si>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</si>
  <si>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</si>
  <si>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</si>
  <si>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</si>
  <si>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</si>
  <si>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</si>
  <si>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</si>
  <si>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</si>
  <si>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</si>
  <si>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</si>
  <si>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</si>
  <si>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</si>
  <si>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</si>
  <si>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</si>
  <si>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</si>
  <si>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</si>
  <si>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</si>
  <si>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</si>
  <si>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</si>
  <si>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</si>
  <si>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</si>
  <si>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</si>
  <si>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</si>
  <si>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</si>
  <si>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</si>
  <si>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</si>
  <si>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</si>
  <si>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</si>
  <si>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</si>
  <si>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</si>
  <si>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</si>
  <si>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</si>
  <si>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</si>
  <si>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</si>
  <si>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</si>
  <si>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</si>
  <si>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</si>
  <si>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</si>
  <si>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</si>
  <si>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</si>
  <si>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</si>
  <si>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</si>
  <si>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</si>
  <si>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</si>
  <si>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</si>
  <si>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</si>
  <si>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</si>
  <si>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</si>
  <si>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</si>
  <si>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</si>
  <si>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</si>
  <si>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</si>
  <si>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</si>
  <si>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</si>
  <si>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</si>
  <si>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</si>
  <si>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</si>
  <si>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</si>
  <si>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</si>
  <si>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</si>
  <si>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</si>
  <si>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</si>
  <si>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</si>
  <si>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</si>
  <si>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</si>
  <si>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</si>
  <si>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</si>
  <si>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</si>
  <si>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</si>
  <si>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</si>
  <si>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</si>
  <si>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</si>
  <si>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</si>
  <si>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</si>
  <si>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</si>
  <si>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</si>
  <si>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</si>
  <si>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</si>
  <si>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</si>
  <si>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</si>
  <si>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</si>
  <si>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</si>
  <si>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</si>
  <si>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</si>
  <si>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</si>
  <si>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</si>
  <si>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</si>
  <si>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</si>
  <si>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</si>
  <si>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</si>
  <si>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</si>
  <si>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</si>
  <si>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</si>
  <si>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</si>
  <si>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</si>
  <si>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</si>
  <si>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</si>
  <si>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</si>
  <si>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</si>
  <si>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</si>
  <si>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</si>
  <si>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</si>
  <si>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</si>
  <si>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</si>
  <si>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</si>
  <si>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</si>
  <si>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</si>
  <si>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</si>
  <si>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</si>
  <si>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</si>
  <si>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</si>
  <si>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</si>
  <si>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</si>
  <si>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</si>
  <si>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</si>
  <si>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</si>
  <si>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</si>
  <si>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</si>
  <si>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</si>
  <si>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</si>
  <si>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</si>
  <si>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</si>
  <si>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</si>
  <si>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</si>
  <si>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</si>
  <si>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</si>
  <si>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</si>
  <si>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</si>
  <si>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</si>
  <si>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</si>
  <si>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</si>
  <si>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</si>
  <si>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</si>
  <si>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</si>
  <si>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</si>
  <si>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</si>
  <si>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</si>
  <si>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</si>
  <si>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</si>
  <si>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</si>
  <si>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</si>
  <si>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</si>
  <si>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</si>
  <si>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</si>
  <si>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</si>
  <si>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</si>
  <si>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</si>
  <si>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</si>
  <si>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</si>
  <si>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</si>
  <si>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</si>
  <si>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</si>
  <si>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</si>
  <si>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</si>
  <si>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</si>
  <si>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</si>
  <si>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</si>
  <si>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</si>
  <si>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</si>
  <si>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</si>
  <si>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</si>
  <si>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</si>
  <si>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</si>
  <si>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</si>
  <si>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</si>
  <si>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</si>
  <si>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</si>
  <si>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</si>
  <si>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</si>
  <si>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</si>
  <si>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</si>
  <si>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</si>
  <si>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</si>
  <si>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</si>
  <si>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</si>
  <si>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</si>
  <si>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</si>
  <si>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</si>
  <si>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</si>
  <si>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</si>
  <si>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</si>
  <si>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</si>
  <si>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</si>
  <si>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</si>
  <si>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</si>
  <si>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</si>
  <si>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</si>
  <si>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</si>
  <si>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</si>
  <si>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</si>
  <si>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</si>
  <si>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</si>
  <si>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</si>
  <si>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</si>
  <si>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</si>
  <si>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</si>
  <si>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</si>
  <si>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</si>
  <si>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</si>
  <si>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</si>
  <si>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</si>
  <si>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</si>
  <si>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</si>
  <si>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</si>
  <si>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</si>
  <si>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</si>
  <si>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</si>
  <si>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</si>
  <si>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</si>
  <si>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</si>
  <si>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</si>
  <si>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</si>
  <si>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</si>
  <si>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</si>
  <si>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</si>
  <si>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</si>
  <si>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</si>
  <si>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</si>
  <si>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</si>
  <si>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</si>
  <si>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</si>
  <si>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</si>
  <si>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</si>
  <si>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</si>
  <si>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</si>
  <si>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</si>
  <si>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</si>
  <si>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</si>
  <si>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</si>
  <si>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</si>
  <si>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</si>
  <si>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</si>
  <si>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</si>
  <si>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</si>
  <si>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</si>
  <si>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</si>
  <si>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</si>
  <si>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</si>
  <si>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</si>
  <si>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</si>
  <si>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</si>
  <si>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</si>
  <si>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</si>
  <si>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</si>
  <si>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</si>
  <si>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</si>
  <si>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</si>
  <si>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</si>
  <si>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</si>
  <si>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</si>
  <si>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</si>
  <si>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</si>
  <si>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</si>
  <si>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</si>
  <si>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</si>
  <si>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</si>
  <si>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</si>
  <si>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</si>
  <si>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</si>
  <si>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</si>
  <si>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</si>
  <si>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</si>
  <si>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</si>
  <si>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</si>
  <si>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</si>
  <si>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</si>
  <si>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</si>
  <si>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</si>
  <si>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</si>
  <si>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</si>
  <si>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</si>
  <si>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</si>
  <si>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</si>
  <si>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</si>
  <si>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</si>
  <si>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</si>
  <si>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</si>
  <si>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</si>
  <si>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</si>
  <si>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</si>
  <si>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</si>
  <si>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</si>
  <si>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</si>
  <si>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</si>
  <si>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</si>
  <si>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</si>
  <si>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</si>
  <si>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</si>
  <si>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</si>
  <si>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</si>
  <si>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</si>
  <si>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</si>
  <si>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</si>
  <si>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</si>
  <si>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</si>
  <si>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</si>
  <si>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</si>
  <si>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</si>
  <si>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</si>
  <si>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</si>
  <si>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</si>
  <si>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</si>
  <si>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</si>
  <si>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</si>
  <si>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</si>
  <si>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</si>
  <si>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</si>
  <si>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</si>
  <si>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</si>
  <si>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</si>
  <si>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</si>
  <si>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</si>
  <si>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</si>
  <si>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</si>
  <si>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</si>
  <si>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</si>
  <si>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</si>
  <si>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</si>
  <si>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</si>
  <si>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</si>
  <si>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</si>
  <si>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</si>
  <si>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</si>
  <si>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</si>
  <si>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</si>
  <si>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</si>
  <si>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</si>
  <si>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</si>
  <si>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</si>
  <si>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</si>
  <si>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</si>
  <si>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</si>
  <si>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</si>
  <si>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</si>
  <si>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</si>
  <si>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</si>
  <si>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</si>
  <si>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</si>
  <si>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</si>
  <si>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</si>
  <si>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</si>
  <si>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</si>
  <si>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</si>
  <si>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</si>
  <si>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</si>
  <si>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</si>
  <si>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</si>
  <si>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</si>
  <si>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</si>
  <si>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</si>
  <si>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</si>
  <si>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</si>
  <si>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</si>
  <si>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</si>
  <si>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</si>
  <si>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</si>
  <si>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</si>
  <si>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</si>
  <si>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</si>
  <si>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</si>
  <si>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</si>
  <si>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</si>
  <si>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</si>
  <si>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</si>
  <si>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</si>
  <si>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</si>
  <si>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</si>
  <si>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</si>
  <si>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</si>
  <si>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</si>
  <si>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</si>
  <si>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</si>
  <si>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</si>
  <si>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</si>
  <si>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</si>
  <si>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</si>
  <si>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</si>
  <si>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</si>
  <si>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</si>
  <si>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</si>
  <si>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</si>
  <si>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</si>
  <si>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</si>
  <si>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</si>
  <si>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</si>
  <si>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</si>
  <si>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</si>
  <si>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</si>
  <si>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</si>
  <si>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</si>
  <si>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</si>
  <si>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</si>
  <si>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</si>
  <si>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</si>
  <si>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</si>
  <si>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</si>
  <si>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</si>
  <si>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</si>
  <si>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</si>
  <si>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</si>
  <si>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</si>
  <si>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</si>
  <si>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</si>
  <si>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</si>
  <si>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</si>
  <si>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</si>
  <si>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</si>
  <si>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</si>
  <si>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</si>
  <si>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</si>
  <si>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</si>
  <si>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</si>
  <si>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</si>
  <si>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</si>
  <si>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</si>
  <si>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</si>
  <si>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</si>
  <si>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</si>
  <si>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</si>
  <si>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</si>
  <si>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</si>
  <si>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</si>
  <si>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</si>
  <si>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</si>
  <si>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</si>
  <si>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</si>
  <si>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</si>
  <si>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</si>
  <si>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</si>
  <si>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</si>
  <si>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</si>
  <si>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</si>
  <si>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</si>
  <si>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</si>
  <si>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</si>
  <si>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</si>
  <si>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</si>
  <si>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</si>
  <si>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</si>
  <si>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</si>
  <si>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</si>
  <si>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</si>
  <si>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</si>
  <si>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</si>
  <si>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</si>
  <si>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</si>
  <si>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</si>
  <si>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</si>
  <si>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</si>
  <si>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</si>
  <si>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</si>
  <si>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</si>
  <si>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</si>
  <si>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</si>
  <si>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</si>
  <si>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</si>
  <si>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</si>
  <si>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</si>
  <si>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</si>
  <si>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</si>
  <si>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</si>
  <si>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</si>
  <si>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</si>
  <si>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</si>
  <si>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</si>
  <si>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</si>
  <si>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</si>
  <si>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</si>
  <si>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</si>
  <si>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</si>
  <si>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</si>
  <si>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</si>
  <si>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</si>
  <si>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</si>
  <si>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</si>
  <si>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</si>
  <si>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</si>
  <si>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</si>
  <si>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</si>
  <si>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</si>
  <si>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</si>
  <si>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</si>
  <si>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</si>
  <si>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</si>
  <si>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</si>
  <si>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</si>
  <si>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</si>
  <si>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</si>
  <si>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</si>
  <si>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</si>
  <si>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</si>
  <si>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</si>
  <si>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</si>
  <si>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</si>
  <si>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</si>
  <si>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</si>
  <si>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</si>
  <si>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</si>
  <si>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</si>
  <si>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</si>
  <si>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</si>
  <si>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</si>
  <si>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</si>
  <si>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</si>
  <si>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</si>
  <si>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</si>
  <si>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</si>
  <si>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</si>
  <si>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</si>
  <si>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</si>
  <si>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</si>
  <si>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</si>
  <si>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</si>
  <si>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</si>
  <si>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</si>
  <si>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</si>
  <si>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</si>
  <si>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</si>
  <si>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</si>
  <si>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</si>
  <si>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</si>
  <si>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</si>
  <si>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</si>
  <si>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</si>
  <si>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</si>
  <si>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</si>
  <si>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</si>
  <si>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</si>
  <si>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</si>
  <si>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</si>
  <si>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</si>
  <si>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</si>
  <si>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</si>
  <si>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</si>
  <si>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</si>
  <si>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</si>
  <si>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</si>
  <si>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</si>
  <si>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</si>
  <si>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</si>
  <si>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</si>
  <si>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</si>
  <si>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</si>
  <si>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</si>
  <si>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</si>
  <si>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</si>
  <si>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</si>
  <si>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</si>
  <si>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</si>
  <si>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</si>
  <si>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</si>
  <si>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</si>
  <si>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</si>
  <si>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</si>
  <si>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</si>
  <si>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</si>
  <si>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</si>
  <si>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</si>
  <si>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</si>
  <si>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</si>
  <si>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</si>
  <si>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</si>
  <si>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</si>
  <si>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</si>
  <si>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</si>
  <si>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</si>
  <si>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</si>
  <si>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</si>
  <si>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</si>
  <si>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</si>
  <si>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</si>
  <si>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</si>
  <si>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</si>
  <si>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</si>
  <si>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</si>
  <si>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</si>
  <si>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</si>
  <si>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</si>
  <si>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</si>
  <si>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</si>
  <si>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</si>
  <si>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</si>
  <si>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</si>
  <si>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</si>
  <si>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</si>
  <si>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</si>
  <si>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</si>
  <si>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</si>
  <si>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</si>
  <si>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</si>
  <si>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</si>
  <si>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</si>
  <si>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</si>
  <si>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</si>
  <si>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</si>
  <si>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</si>
  <si>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</si>
  <si>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</si>
  <si>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</si>
  <si>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</si>
  <si>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</si>
  <si>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</si>
  <si>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</si>
  <si>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</si>
  <si>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</si>
  <si>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</si>
  <si>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</si>
  <si>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</si>
  <si>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</si>
  <si>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</si>
  <si>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</si>
  <si>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</si>
  <si>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</si>
  <si>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</si>
  <si>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</si>
  <si>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</si>
  <si>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</si>
  <si>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</si>
  <si>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</si>
  <si>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</si>
  <si>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</si>
  <si>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</si>
  <si>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</si>
  <si>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</si>
  <si>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</si>
  <si>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</si>
  <si>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</si>
  <si>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</si>
  <si>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</si>
  <si>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</si>
  <si>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</si>
  <si>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</si>
  <si>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</si>
  <si>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</si>
  <si>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</si>
  <si>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</si>
  <si>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</si>
  <si>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</si>
  <si>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</si>
  <si>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</si>
  <si>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</si>
  <si>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</si>
  <si>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</si>
  <si>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</si>
  <si>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</si>
  <si>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</si>
  <si>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</si>
  <si>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</si>
  <si>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</si>
  <si>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</si>
  <si>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</si>
  <si>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</si>
  <si>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</si>
  <si>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</si>
  <si>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</si>
  <si>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</si>
  <si>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</si>
  <si>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</si>
  <si>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</si>
  <si>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</si>
  <si>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</si>
  <si>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</si>
  <si>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</si>
  <si>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</si>
  <si>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</si>
  <si>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</si>
  <si>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</si>
  <si>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</si>
  <si>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</si>
  <si>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</si>
  <si>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</si>
  <si>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</si>
  <si>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</si>
  <si>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</si>
  <si>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</si>
  <si>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</si>
  <si>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</si>
  <si>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</si>
  <si>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</si>
  <si>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</si>
  <si>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</si>
  <si>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</si>
  <si>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</si>
  <si>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</si>
  <si>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</si>
  <si>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</si>
  <si>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</si>
  <si>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</si>
  <si>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</si>
  <si>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</si>
  <si>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</si>
  <si>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</si>
  <si>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</si>
  <si>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</si>
  <si>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</si>
  <si>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</si>
  <si>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</si>
  <si>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</si>
  <si>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</si>
  <si>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</si>
  <si>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</si>
  <si>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</si>
  <si>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</si>
  <si>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</si>
  <si>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</si>
  <si>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</si>
  <si>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</si>
  <si>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</si>
  <si>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</si>
  <si>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</si>
  <si>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</si>
  <si>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</si>
  <si>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</si>
  <si>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</si>
  <si>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</si>
  <si>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</si>
  <si>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</si>
  <si>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</si>
  <si>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</si>
  <si>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</si>
  <si>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</si>
  <si>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</si>
  <si>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</si>
  <si>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</si>
  <si>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</si>
  <si>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</si>
  <si>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</si>
  <si>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</si>
  <si>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</si>
  <si>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</si>
  <si>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</si>
  <si>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</si>
  <si>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</si>
  <si>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</si>
  <si>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</si>
  <si>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</si>
  <si>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</si>
  <si>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</si>
  <si>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</si>
  <si>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</si>
  <si>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</si>
  <si>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</si>
  <si>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</si>
  <si>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</si>
  <si>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</si>
  <si>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</si>
  <si>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</si>
  <si>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</si>
  <si>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</si>
  <si>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</si>
  <si>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</si>
  <si>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</si>
  <si>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</si>
  <si>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</si>
  <si>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</si>
  <si>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</si>
  <si>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</si>
  <si>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</si>
  <si>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</si>
  <si>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</si>
  <si>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</si>
  <si>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</si>
  <si>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</si>
  <si>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</si>
  <si>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</si>
  <si>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</si>
  <si>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</si>
  <si>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</si>
  <si>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</si>
  <si>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</si>
  <si>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</si>
  <si>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</si>
  <si>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</si>
  <si>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</si>
  <si>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</si>
  <si>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</si>
  <si>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</si>
  <si>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</si>
  <si>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</si>
  <si>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</si>
  <si>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</si>
  <si>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</si>
  <si>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</si>
  <si>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</si>
  <si>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</si>
  <si>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</si>
  <si>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</si>
  <si>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</si>
  <si>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</si>
  <si>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</si>
  <si>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</si>
  <si>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</si>
  <si>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</si>
  <si>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</si>
  <si>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</si>
  <si>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</si>
  <si>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</si>
  <si>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</si>
  <si>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</si>
  <si>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</si>
  <si>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</si>
  <si>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</si>
  <si>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</si>
  <si>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</si>
  <si>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</si>
  <si>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</si>
  <si>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</si>
  <si>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</si>
  <si>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</si>
  <si>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</si>
  <si>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</si>
  <si>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</si>
  <si>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</si>
  <si>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</si>
  <si>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</si>
  <si>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</si>
  <si>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</si>
  <si>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</si>
  <si>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</si>
  <si>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</si>
  <si>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</si>
  <si>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</si>
  <si>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</si>
  <si>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</si>
  <si>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</si>
  <si>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</si>
  <si>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</si>
  <si>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</si>
  <si>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</si>
  <si>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</si>
  <si>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</si>
  <si>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</si>
  <si>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</si>
  <si>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</si>
  <si>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</si>
  <si>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</si>
  <si>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</si>
  <si>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</si>
  <si>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</si>
  <si>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</si>
  <si>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</si>
  <si>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</si>
  <si>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</si>
  <si>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</si>
  <si>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</si>
  <si>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</si>
  <si>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</si>
  <si>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</si>
  <si>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</si>
  <si>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</si>
  <si>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</si>
  <si>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</si>
  <si>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</si>
  <si>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</si>
  <si>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</si>
  <si>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</si>
  <si>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</si>
  <si>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</si>
  <si>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</si>
  <si>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</si>
  <si>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</si>
  <si>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</si>
  <si>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</si>
  <si>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</si>
  <si>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</si>
  <si>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</si>
  <si>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</si>
  <si>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</si>
  <si>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</si>
  <si>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</si>
  <si>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</si>
  <si>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</si>
  <si>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</si>
  <si>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</si>
  <si>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</si>
  <si>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</si>
  <si>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</si>
  <si>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</si>
  <si>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</si>
  <si>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</si>
  <si>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</si>
  <si>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</si>
  <si>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</si>
  <si>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</si>
  <si>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</si>
  <si>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</si>
  <si>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</si>
  <si>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</si>
  <si>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</si>
  <si>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</si>
  <si>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</si>
  <si>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</si>
  <si>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</si>
  <si>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</si>
  <si>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</si>
  <si>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</si>
  <si>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</si>
  <si>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</si>
  <si>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</si>
  <si>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</si>
  <si>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</si>
  <si>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</si>
  <si>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</si>
  <si>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</si>
  <si>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</si>
  <si>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</si>
  <si>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</si>
  <si>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</si>
  <si>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</si>
  <si>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</si>
  <si>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</si>
  <si>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</si>
  <si>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</si>
  <si>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</si>
  <si>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</si>
  <si>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</si>
  <si>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</si>
  <si>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</si>
  <si>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</si>
  <si>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</si>
  <si>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</si>
  <si>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</si>
  <si>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</si>
  <si>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</si>
  <si>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</si>
  <si>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</si>
  <si>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</si>
  <si>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</si>
  <si>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</si>
  <si>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</si>
  <si>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</si>
  <si>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</si>
  <si>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</si>
  <si>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</si>
  <si>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</si>
  <si>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</si>
  <si>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</si>
  <si>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</si>
  <si>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</si>
  <si>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</si>
  <si>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</si>
  <si>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</si>
  <si>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</si>
  <si>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</si>
  <si>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</si>
  <si>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</si>
  <si>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</si>
  <si>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</si>
  <si>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</si>
  <si>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</si>
  <si>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</si>
  <si>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</si>
  <si>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</si>
  <si>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</si>
  <si>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</si>
  <si>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</si>
  <si>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</si>
  <si>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</si>
  <si>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</si>
  <si>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</si>
  <si>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</si>
  <si>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</si>
  <si>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</si>
  <si>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</si>
  <si>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</si>
  <si>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</si>
  <si>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</si>
  <si>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</si>
  <si>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</si>
  <si>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</si>
  <si>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</si>
  <si>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</si>
  <si>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</si>
  <si>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</si>
  <si>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</si>
  <si>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</si>
  <si>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</si>
  <si>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</si>
  <si>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</si>
  <si>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</si>
  <si>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</si>
  <si>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</si>
  <si>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</si>
  <si>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</si>
  <si>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</si>
  <si>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</si>
  <si>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</si>
  <si>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</si>
  <si>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</si>
  <si>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</si>
  <si>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</si>
  <si>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</si>
  <si>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</si>
  <si>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</si>
  <si>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</si>
  <si>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</si>
  <si>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</si>
  <si>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</si>
  <si>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</si>
  <si>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</si>
  <si>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</si>
  <si>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</si>
  <si>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</si>
  <si>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</si>
  <si>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</si>
  <si>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</si>
  <si>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</si>
  <si>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</si>
  <si>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</si>
  <si>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</si>
  <si>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</si>
  <si>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</si>
  <si>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</si>
  <si>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</si>
  <si>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</si>
  <si>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</si>
  <si>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</si>
  <si>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</si>
  <si>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</si>
  <si>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</si>
  <si>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</si>
  <si>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</si>
  <si>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</si>
  <si>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</si>
  <si>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</si>
  <si>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</si>
  <si>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</si>
  <si>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</si>
  <si>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</si>
  <si>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</si>
  <si>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</si>
  <si>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</si>
  <si>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</si>
  <si>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</si>
  <si>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</si>
  <si>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</si>
  <si>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</si>
  <si>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</si>
  <si>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</si>
  <si>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</si>
  <si>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</si>
  <si>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</si>
  <si>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</si>
  <si>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</si>
  <si>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</si>
  <si>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</si>
  <si>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</si>
  <si>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</si>
  <si>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</si>
  <si>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</si>
  <si>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</si>
  <si>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</si>
  <si>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</si>
  <si>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</si>
  <si>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</si>
  <si>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</si>
  <si>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</si>
  <si>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</si>
  <si>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</si>
  <si>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</si>
  <si>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</si>
  <si>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</si>
  <si>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</si>
  <si>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</si>
  <si>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</si>
  <si>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</si>
  <si>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</si>
  <si>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</si>
  <si>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</si>
  <si>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</si>
  <si>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</si>
  <si>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</si>
  <si>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</si>
  <si>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</si>
  <si>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</si>
  <si>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</si>
  <si>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</si>
  <si>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</si>
  <si>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</si>
  <si>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</si>
  <si>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</si>
  <si>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</si>
  <si>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</si>
  <si>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</si>
  <si>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</si>
  <si>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</si>
  <si>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</si>
  <si>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</si>
  <si>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</si>
  <si>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</si>
  <si>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</si>
  <si>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</si>
  <si>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</si>
  <si>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</si>
  <si>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</si>
  <si>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</si>
  <si>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</si>
  <si>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</si>
  <si>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</si>
  <si>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</si>
  <si>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</si>
  <si>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</si>
  <si>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</si>
  <si>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</si>
  <si>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</si>
  <si>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</si>
  <si>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</si>
  <si>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</si>
  <si>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</si>
  <si>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</si>
  <si>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</si>
  <si>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</si>
  <si>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</si>
  <si>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</si>
  <si>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</si>
  <si>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</si>
  <si>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</si>
  <si>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</si>
  <si>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</si>
  <si>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</si>
  <si>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</si>
  <si>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</si>
  <si>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</si>
  <si>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</si>
  <si>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</si>
  <si>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</si>
  <si>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</si>
  <si>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</si>
  <si>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</si>
  <si>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</si>
  <si>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</si>
  <si>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</si>
  <si>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</si>
  <si>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</si>
  <si>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</si>
  <si>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</si>
  <si>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</si>
  <si>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</si>
  <si>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</si>
  <si>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</si>
  <si>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</si>
  <si>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</si>
  <si>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</si>
  <si>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</si>
  <si>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</si>
  <si>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</si>
  <si>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</si>
  <si>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</si>
  <si>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</si>
  <si>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</si>
  <si>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</si>
  <si>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</si>
  <si>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</si>
  <si>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</si>
  <si>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</si>
  <si>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</si>
  <si>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</si>
  <si>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</si>
  <si>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</si>
  <si>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</si>
  <si>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</si>
  <si>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</si>
  <si>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</si>
  <si>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</si>
  <si>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</si>
  <si>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</si>
  <si>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</si>
  <si>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</si>
  <si>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</si>
  <si>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</si>
  <si>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</si>
  <si>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</si>
  <si>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</si>
  <si>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</si>
  <si>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</si>
  <si>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</si>
  <si>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</si>
  <si>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</si>
  <si>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</si>
  <si>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</si>
  <si>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</si>
  <si>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</si>
  <si>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</si>
  <si>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</si>
  <si>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</si>
  <si>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</si>
  <si>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</si>
  <si>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</si>
  <si>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</si>
  <si>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</si>
  <si>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</si>
  <si>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</si>
  <si>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</si>
  <si>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</si>
  <si>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</si>
  <si>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</si>
  <si>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</si>
  <si>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</si>
  <si>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</si>
  <si>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</si>
  <si>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</si>
  <si>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</si>
  <si>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</si>
  <si>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</si>
  <si>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</si>
  <si>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</si>
  <si>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</si>
  <si>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</si>
  <si>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</si>
  <si>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</si>
  <si>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</si>
  <si>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</si>
  <si>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</si>
  <si>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</si>
  <si>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</si>
  <si>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</si>
  <si>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</si>
  <si>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</si>
  <si>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</si>
  <si>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</si>
  <si>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</si>
  <si>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</si>
  <si>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</si>
  <si>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</si>
  <si>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</si>
  <si>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</si>
  <si>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</si>
  <si>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</si>
  <si>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</si>
  <si>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</si>
  <si>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</si>
  <si>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</si>
  <si>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</si>
  <si>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</si>
  <si>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</si>
  <si>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</si>
  <si>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</si>
  <si>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</si>
  <si>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</si>
  <si>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</si>
  <si>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</si>
  <si>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</si>
  <si>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</si>
  <si>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</si>
  <si>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</si>
  <si>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</si>
  <si>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</si>
  <si>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</si>
  <si>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</si>
  <si>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</si>
  <si>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</si>
  <si>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</si>
  <si>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</si>
  <si>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</si>
  <si>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</si>
  <si>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</si>
  <si>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</si>
  <si>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</si>
  <si>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</si>
  <si>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</si>
  <si>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</si>
  <si>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</si>
  <si>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</si>
  <si>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</si>
  <si>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</si>
  <si>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</si>
  <si>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</si>
  <si>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</si>
  <si>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</si>
  <si>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</si>
  <si>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</si>
  <si>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</si>
  <si>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</si>
  <si>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</si>
  <si>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</si>
  <si>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</si>
  <si>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</si>
  <si>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</si>
  <si>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</si>
  <si>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</si>
  <si>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</si>
  <si>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</si>
  <si>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</si>
  <si>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</si>
  <si>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</si>
  <si>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</si>
  <si>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</si>
  <si>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</si>
  <si>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</si>
  <si>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</si>
  <si>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</si>
  <si>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</si>
  <si>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</si>
  <si>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</si>
  <si>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</si>
  <si>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</si>
  <si>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</si>
  <si>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</si>
  <si>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</si>
  <si>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</si>
  <si>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</si>
  <si>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</si>
  <si>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</si>
  <si>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</si>
  <si>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</si>
  <si>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</si>
  <si>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</si>
  <si>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</si>
  <si>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</si>
  <si>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</si>
  <si>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</si>
  <si>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</si>
  <si>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</si>
  <si>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</si>
  <si>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</si>
  <si>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</si>
  <si>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</si>
  <si>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</si>
  <si>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</si>
  <si>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</si>
  <si>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</si>
  <si>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</si>
  <si>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</si>
  <si>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</si>
  <si>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</si>
  <si>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</si>
  <si>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</si>
  <si>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</si>
  <si>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</si>
  <si>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</si>
  <si>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</si>
  <si>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</si>
  <si>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</si>
  <si>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</si>
  <si>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</si>
  <si>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</si>
  <si>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</si>
  <si>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</si>
  <si>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</si>
  <si>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</si>
  <si>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</si>
  <si>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</si>
  <si>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</si>
  <si>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</si>
  <si>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</si>
  <si>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</si>
  <si>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</si>
  <si>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</si>
  <si>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</si>
  <si>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</si>
  <si>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</si>
  <si>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</si>
  <si>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</si>
  <si>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</si>
  <si>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</si>
  <si>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</si>
  <si>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</si>
  <si>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</si>
  <si>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</si>
  <si>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</si>
  <si>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</si>
  <si>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</si>
  <si>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</si>
  <si>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</si>
  <si>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</si>
  <si>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</si>
  <si>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</si>
  <si>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</si>
  <si>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</si>
  <si>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</si>
  <si>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</si>
  <si>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</si>
  <si>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</si>
  <si>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</si>
  <si>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</si>
  <si>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</si>
  <si>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</si>
  <si>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</si>
  <si>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</si>
  <si>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</si>
  <si>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</si>
  <si>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</si>
  <si>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</si>
  <si>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</si>
  <si>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</si>
  <si>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</si>
  <si>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</si>
  <si>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</si>
  <si>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</si>
  <si>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</si>
  <si>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</si>
  <si>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</si>
  <si>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</si>
  <si>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</si>
  <si>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</si>
  <si>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</si>
  <si>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</si>
  <si>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</si>
  <si>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</si>
  <si>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</si>
  <si>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</si>
  <si>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</si>
  <si>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</si>
  <si>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</si>
  <si>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</si>
  <si>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</si>
  <si>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</si>
  <si>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</si>
  <si>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</si>
  <si>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</si>
  <si>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</si>
  <si>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</si>
  <si>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</si>
  <si>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</si>
  <si>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</si>
  <si>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</si>
  <si>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</si>
  <si>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</si>
  <si>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</si>
  <si>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</si>
  <si>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</si>
  <si>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</si>
  <si>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</si>
  <si>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</si>
  <si>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</si>
  <si>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</si>
  <si>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</si>
  <si>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</si>
  <si>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</si>
  <si>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</si>
  <si>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</si>
  <si>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</si>
  <si>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</si>
  <si>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</si>
  <si>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</si>
  <si>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</si>
  <si>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</si>
  <si>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</si>
  <si>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</si>
  <si>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</si>
  <si>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</si>
  <si>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</si>
  <si>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</si>
  <si>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</si>
  <si>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</si>
  <si>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</si>
  <si>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</si>
  <si>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</si>
  <si>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</si>
  <si>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</si>
  <si>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</si>
  <si>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</si>
  <si>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</si>
  <si>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</si>
  <si>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</si>
  <si>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</si>
  <si>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</si>
  <si>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</si>
  <si>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</si>
  <si>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</si>
  <si>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</si>
  <si>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</si>
  <si>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</si>
  <si>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</si>
  <si>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</si>
  <si>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</si>
  <si>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</si>
  <si>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</si>
  <si>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</si>
  <si>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</si>
  <si>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</si>
  <si>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</si>
  <si>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</si>
  <si>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</si>
  <si>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</si>
  <si>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</si>
  <si>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</si>
  <si>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</si>
  <si>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</si>
  <si>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</si>
  <si>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</si>
  <si>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</si>
  <si>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</si>
  <si>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</si>
  <si>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</si>
  <si>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</si>
  <si>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</si>
  <si>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</si>
  <si>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</si>
  <si>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</si>
  <si>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</si>
  <si>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</si>
  <si>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</si>
  <si>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</si>
  <si>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</si>
  <si>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</si>
  <si>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</si>
  <si>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</si>
  <si>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</si>
  <si>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</si>
  <si>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</si>
  <si>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</si>
  <si>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</si>
  <si>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</si>
  <si>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</si>
  <si>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</si>
  <si>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</si>
  <si>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</si>
  <si>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</si>
  <si>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</si>
  <si>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</si>
  <si>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</si>
  <si>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</si>
  <si>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</si>
  <si>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</si>
  <si>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</si>
  <si>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</si>
  <si>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</si>
  <si>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</si>
  <si>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</si>
  <si>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</si>
  <si>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</si>
  <si>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</si>
  <si>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</si>
  <si>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</si>
  <si>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</si>
  <si>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</si>
  <si>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</si>
  <si>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</si>
  <si>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</si>
  <si>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</si>
  <si>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</si>
  <si>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</si>
  <si>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</si>
  <si>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</si>
  <si>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</si>
  <si>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</si>
  <si>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</si>
  <si>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</si>
  <si>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</si>
  <si>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</si>
  <si>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</si>
  <si>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</si>
  <si>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</si>
  <si>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</si>
  <si>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</si>
  <si>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</si>
  <si>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</si>
  <si>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</si>
  <si>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</si>
  <si>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</si>
  <si>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</si>
  <si>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</si>
  <si>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</si>
  <si>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</si>
  <si>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</si>
  <si>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</si>
  <si>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</si>
  <si>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</si>
  <si>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</si>
  <si>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</si>
  <si>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</si>
  <si>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</si>
  <si>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</si>
  <si>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</si>
  <si>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</si>
  <si>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</si>
  <si>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</si>
  <si>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</si>
  <si>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</si>
  <si>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</si>
  <si>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</si>
  <si>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</si>
  <si>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</si>
  <si>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</si>
  <si>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</si>
  <si>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</si>
  <si>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</si>
  <si>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</si>
  <si>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</si>
  <si>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</si>
  <si>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</si>
  <si>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</si>
  <si>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</si>
  <si>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</si>
  <si>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</si>
  <si>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</si>
  <si>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</si>
  <si>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</si>
  <si>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</si>
  <si>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</si>
  <si>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</si>
  <si>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</si>
  <si>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</si>
  <si>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</si>
  <si>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</si>
  <si>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</si>
  <si>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</si>
  <si>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</si>
  <si>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</si>
  <si>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</si>
  <si>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</si>
  <si>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</si>
  <si>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</si>
  <si>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</si>
  <si>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</si>
  <si>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</si>
  <si>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</si>
  <si>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</si>
  <si>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</si>
  <si>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</si>
  <si>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</si>
  <si>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</si>
  <si>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</si>
  <si>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</si>
  <si>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</si>
  <si>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</si>
  <si>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</si>
  <si>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</si>
  <si>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</si>
  <si>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</si>
  <si>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</si>
  <si>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</si>
  <si>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</si>
  <si>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</si>
  <si>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</si>
  <si>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</si>
  <si>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</si>
  <si>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</si>
  <si>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</si>
  <si>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</si>
  <si>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</si>
  <si>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</si>
  <si>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</si>
  <si>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</si>
  <si>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</si>
  <si>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</si>
  <si>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</si>
  <si>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</si>
  <si>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</si>
  <si>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</si>
  <si>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</si>
  <si>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</si>
  <si>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</si>
  <si>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</si>
  <si>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</si>
  <si>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</si>
  <si>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</si>
  <si>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</si>
  <si>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</si>
  <si>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</si>
  <si>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</si>
  <si>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</si>
  <si>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</si>
  <si>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</si>
  <si>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</si>
  <si>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</si>
  <si>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</si>
  <si>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</si>
  <si>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</si>
  <si>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</si>
  <si>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</si>
  <si>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</si>
  <si>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</si>
  <si>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</si>
  <si>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</si>
  <si>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</si>
  <si>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</si>
  <si>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</si>
  <si>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</si>
  <si>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</si>
  <si>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</si>
  <si>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</si>
  <si>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</si>
  <si>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</si>
  <si>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</si>
  <si>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</si>
  <si>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</si>
  <si>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</si>
  <si>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</si>
  <si>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</si>
  <si>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</si>
  <si>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</si>
  <si>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</si>
  <si>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</si>
  <si>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</si>
  <si>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</si>
  <si>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</si>
  <si>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</si>
  <si>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</si>
  <si>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</si>
  <si>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</si>
  <si>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</si>
  <si>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</si>
  <si>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</si>
  <si>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</si>
  <si>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</si>
  <si>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</si>
  <si>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</si>
  <si>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</si>
  <si>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</si>
  <si>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</si>
  <si>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</si>
  <si>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</si>
  <si>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</si>
  <si>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</si>
  <si>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</si>
  <si>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</si>
  <si>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</si>
  <si>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</si>
  <si>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</si>
  <si>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</si>
  <si>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</si>
  <si>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</si>
  <si>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</si>
  <si>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</si>
  <si>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</si>
  <si>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</si>
  <si>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</si>
  <si>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</si>
  <si>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</si>
  <si>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</si>
  <si>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</si>
  <si>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</si>
  <si>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</si>
  <si>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</si>
  <si>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</si>
  <si>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</si>
  <si>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</si>
  <si>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</si>
  <si>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</si>
  <si>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</si>
  <si>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</si>
  <si>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</si>
  <si>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</si>
  <si>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</si>
  <si>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</si>
  <si>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</si>
  <si>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</si>
  <si>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</si>
  <si>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</si>
  <si>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</si>
  <si>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</si>
  <si>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</si>
  <si>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</si>
  <si>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</si>
  <si>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</si>
  <si>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</si>
  <si>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</si>
  <si>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</si>
  <si>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</si>
  <si>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</si>
  <si>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</si>
  <si>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</si>
  <si>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</si>
  <si>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</si>
  <si>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</si>
  <si>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</si>
  <si>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</si>
  <si>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</si>
  <si>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</si>
  <si>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</si>
  <si>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</si>
  <si>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</si>
  <si>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</si>
  <si>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</si>
  <si>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</si>
  <si>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</si>
  <si>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</si>
  <si>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</si>
  <si>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</si>
  <si>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</si>
  <si>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</si>
  <si>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</si>
  <si>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</si>
  <si>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</si>
  <si>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</si>
  <si>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</si>
  <si>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</si>
  <si>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</si>
  <si>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</si>
  <si>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</si>
  <si>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</si>
  <si>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</si>
  <si>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</si>
  <si>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</si>
  <si>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</si>
  <si>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</si>
  <si>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</si>
  <si>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</si>
  <si>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</si>
  <si>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</si>
  <si>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</si>
  <si>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</si>
  <si>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</si>
  <si>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</si>
  <si>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</si>
  <si>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</si>
  <si>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</si>
  <si>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</si>
  <si>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</si>
  <si>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</si>
  <si>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</si>
  <si>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</si>
  <si>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</si>
  <si>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</si>
  <si>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</si>
  <si>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</si>
  <si>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</si>
  <si>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</si>
  <si>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</si>
  <si>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</si>
  <si>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</si>
  <si>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</si>
  <si>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</si>
  <si>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</si>
  <si>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</si>
  <si>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</si>
  <si>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</si>
  <si>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</si>
  <si>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</si>
  <si>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</si>
  <si>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</si>
  <si>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</si>
  <si>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</si>
  <si>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</si>
  <si>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</si>
  <si>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</si>
  <si>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</si>
  <si>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</si>
  <si>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</si>
  <si>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</si>
  <si>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</si>
  <si>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</si>
  <si>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</si>
  <si>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</si>
  <si>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</si>
  <si>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</si>
  <si>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</si>
  <si>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</si>
  <si>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</si>
  <si>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</si>
  <si>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</si>
  <si>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</si>
  <si>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</si>
  <si>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</si>
  <si>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</si>
  <si>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</si>
  <si>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</si>
  <si>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</si>
  <si>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</si>
  <si>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</si>
  <si>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</si>
  <si>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</si>
  <si>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</si>
  <si>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</si>
  <si>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</si>
  <si>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</si>
  <si>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</si>
  <si>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</si>
  <si>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</si>
  <si>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</si>
  <si>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</si>
  <si>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</si>
  <si>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</si>
  <si>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</si>
  <si>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</si>
  <si>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</si>
  <si>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</si>
  <si>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</si>
  <si>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</si>
  <si>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</si>
  <si>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</si>
  <si>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</si>
  <si>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</si>
  <si>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</si>
  <si>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</si>
  <si>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</si>
  <si>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</si>
  <si>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</si>
  <si>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</si>
  <si>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</si>
  <si>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</si>
  <si>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</si>
  <si>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</si>
  <si>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</si>
  <si>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</si>
  <si>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</si>
  <si>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</si>
  <si>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</si>
  <si>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</si>
  <si>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</si>
  <si>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</si>
  <si>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</si>
  <si>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</si>
  <si>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</si>
  <si>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</si>
  <si>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</si>
  <si>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</si>
  <si>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</si>
  <si>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</si>
  <si>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</si>
  <si>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</si>
  <si>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</si>
  <si>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</si>
  <si>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</si>
  <si>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</si>
  <si>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</si>
  <si>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</si>
  <si>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</si>
  <si>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</si>
  <si>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</si>
  <si>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</si>
  <si>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</si>
  <si>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</si>
  <si>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</si>
  <si>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</si>
  <si>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</si>
  <si>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</si>
  <si>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</si>
  <si>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</si>
  <si>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</si>
  <si>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</si>
  <si>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</si>
  <si>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</si>
  <si>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</si>
  <si>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</si>
  <si>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</si>
  <si>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</si>
  <si>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</si>
  <si>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</si>
  <si>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</si>
  <si>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</si>
  <si>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</si>
  <si>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</si>
  <si>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</si>
  <si>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</si>
  <si>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</si>
  <si>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</si>
  <si>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</si>
  <si>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</si>
  <si>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</si>
  <si>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</si>
  <si>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</si>
  <si>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</si>
  <si>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</si>
  <si>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</si>
  <si>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</si>
  <si>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</si>
  <si>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</si>
  <si>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</si>
  <si>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</si>
  <si>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</si>
  <si>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</si>
  <si>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</si>
  <si>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</si>
  <si>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</si>
  <si>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</si>
  <si>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</si>
  <si>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</si>
  <si>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</si>
  <si>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</si>
  <si>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</si>
  <si>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</si>
  <si>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</si>
  <si>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</si>
  <si>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</si>
  <si>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</si>
  <si>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</si>
  <si>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</si>
  <si>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</si>
  <si>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</si>
  <si>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</si>
  <si>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</si>
  <si>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</si>
  <si>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</si>
  <si>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</si>
  <si>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</si>
  <si>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</si>
  <si>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</si>
  <si>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</si>
  <si>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</si>
  <si>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</si>
  <si>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</si>
  <si>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</si>
  <si>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</si>
  <si>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</si>
  <si>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</si>
  <si>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</si>
  <si>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</si>
  <si>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</si>
  <si>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</si>
  <si>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</si>
  <si>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</si>
  <si>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</si>
  <si>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</si>
  <si>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</si>
  <si>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</si>
  <si>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</si>
  <si>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</si>
  <si>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</si>
  <si>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</si>
  <si>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</si>
  <si>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</si>
  <si>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</si>
  <si>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</si>
  <si>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</si>
  <si>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</si>
  <si>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</si>
  <si>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</si>
  <si>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</si>
  <si>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</si>
  <si>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</si>
  <si>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</si>
  <si>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</si>
  <si>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</si>
  <si>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</si>
  <si>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</si>
  <si>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</si>
  <si>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</si>
  <si>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</si>
  <si>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</si>
  <si>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</si>
  <si>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</si>
  <si>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</si>
  <si>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</si>
  <si>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</si>
  <si>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</si>
  <si>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</si>
  <si>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</si>
  <si>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</si>
  <si>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</si>
  <si>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</si>
  <si>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</si>
  <si>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</si>
  <si>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</si>
  <si>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</si>
  <si>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</si>
  <si>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</si>
  <si>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</si>
  <si>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</si>
  <si>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</si>
  <si>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</si>
  <si>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</si>
  <si>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</si>
  <si>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</si>
  <si>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</si>
  <si>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</si>
  <si>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</si>
  <si>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</si>
  <si>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</si>
  <si>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</si>
  <si>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</si>
  <si>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</si>
  <si>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</si>
  <si>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</si>
  <si>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</si>
  <si>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</si>
  <si>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</si>
  <si>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</si>
  <si>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</si>
  <si>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</si>
  <si>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</si>
  <si>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</si>
  <si>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</si>
  <si>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</si>
  <si>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</si>
  <si>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</si>
  <si>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</si>
  <si>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</si>
  <si>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</si>
  <si>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</si>
  <si>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712 Seagaze</t>
  </si>
  <si>
    <t>Pacific Southwest Community Development Corporation</t>
  </si>
  <si>
    <t>City of Oceanside</t>
  </si>
  <si>
    <t>Jonathan Borrego</t>
  </si>
  <si>
    <t>760-435-3065</t>
  </si>
  <si>
    <t>jborrego@oceansideca.org</t>
  </si>
  <si>
    <t>300 N. Coast Highway</t>
  </si>
  <si>
    <t>Oceanside</t>
  </si>
  <si>
    <t>712 Seagaze Drive</t>
  </si>
  <si>
    <t>147-193-08; 147-193-09; 147-193-10</t>
  </si>
  <si>
    <t>40%/60%</t>
  </si>
  <si>
    <t>CA</t>
  </si>
  <si>
    <t>Robert Laing</t>
  </si>
  <si>
    <t>760-809-5005</t>
  </si>
  <si>
    <t>716 Seagaze Affordable, L.P.</t>
  </si>
  <si>
    <t>Pacific Southwest Community Development Corp.</t>
  </si>
  <si>
    <t>Managing GP</t>
  </si>
  <si>
    <t>16935 West Bernardo Drive, Suite #238</t>
  </si>
  <si>
    <t>858-675-0702</t>
  </si>
  <si>
    <t>robertlaing@pscdc.org</t>
  </si>
  <si>
    <t>716 Seagaze LLC</t>
  </si>
  <si>
    <t>Administrative GP</t>
  </si>
  <si>
    <t>2021 Vanesta Place- Suite A</t>
  </si>
  <si>
    <t>Manhattan</t>
  </si>
  <si>
    <t>KS</t>
  </si>
  <si>
    <t>Marc Welk</t>
  </si>
  <si>
    <t>619-890-9355</t>
  </si>
  <si>
    <t>marc@theprimecompany.com</t>
  </si>
  <si>
    <t>Elsey Holdings (B</t>
  </si>
  <si>
    <t>PSCDC Prime SD LLC</t>
  </si>
  <si>
    <t>The Prime Company</t>
  </si>
  <si>
    <t>Administrative General Partner</t>
  </si>
  <si>
    <t>Prime Build</t>
  </si>
  <si>
    <t>2021 Vanesta Pl- Suite A</t>
  </si>
  <si>
    <t>Manhattan, KS 66503</t>
  </si>
  <si>
    <t>Bryan Elsey</t>
  </si>
  <si>
    <t>785-317-9352</t>
  </si>
  <si>
    <t>Bryan@theprimecompany.com</t>
  </si>
  <si>
    <t>Prime Design</t>
  </si>
  <si>
    <t>Gubb &amp; Barshay</t>
  </si>
  <si>
    <t>Nicole Kline</t>
  </si>
  <si>
    <t>235 Montgomery St, Suite 1110</t>
  </si>
  <si>
    <t>San Francisco, CA 94104</t>
  </si>
  <si>
    <t>Novogradac &amp; Company LLP</t>
  </si>
  <si>
    <t>211 E Ocean Blvd., 6th Fl</t>
  </si>
  <si>
    <t>Long Beach</t>
  </si>
  <si>
    <t>Craig Staswick</t>
  </si>
  <si>
    <t>Kinetic Valuation Group</t>
  </si>
  <si>
    <t>3901 S. 147th Street, Suite 144</t>
  </si>
  <si>
    <t>Omaha, NE, 68144</t>
  </si>
  <si>
    <t>Jay A. Wortmann</t>
  </si>
  <si>
    <t>TBD</t>
  </si>
  <si>
    <t>415.781.6600</t>
  </si>
  <si>
    <t>nkline@gubbandbarshay.com</t>
  </si>
  <si>
    <t>562.256.3555</t>
  </si>
  <si>
    <t>Craig.Staswick@novoco.com</t>
  </si>
  <si>
    <t>402-202-0771</t>
  </si>
  <si>
    <t>jay@kvgteam.com</t>
  </si>
  <si>
    <t>California Municipal Finance Authority</t>
  </si>
  <si>
    <t>2111 Palomar Airport Rd, Suite 320</t>
  </si>
  <si>
    <t>Carlsbad, CA 92011</t>
  </si>
  <si>
    <t>Anthony Stubbs</t>
  </si>
  <si>
    <t>(760) 930-1333</t>
  </si>
  <si>
    <t>(760) 683-3390</t>
  </si>
  <si>
    <t>astubbs@cmfa-ca.com</t>
  </si>
  <si>
    <t>Barker Management</t>
  </si>
  <si>
    <t>1101 E. Orangewood Avenue</t>
  </si>
  <si>
    <t>Anaheim, CA 92805</t>
  </si>
  <si>
    <t>Yessenia Santana</t>
  </si>
  <si>
    <t>(714) 533-3450</t>
  </si>
  <si>
    <t>ysantana@barkermgt.com</t>
  </si>
  <si>
    <t>Redstone Equity Partners</t>
  </si>
  <si>
    <t>Matt Grosz</t>
  </si>
  <si>
    <t>858.752.2066</t>
  </si>
  <si>
    <t>Matt.Grosz@redstoneequity.com</t>
  </si>
  <si>
    <t>7130 Avenida Encinas, Suite 201</t>
  </si>
  <si>
    <t>Owner &amp; Steward</t>
  </si>
  <si>
    <t>Other (Specify below)</t>
  </si>
  <si>
    <t>Project contains 1,581 sqft of commercial space that may become a retail or similar space</t>
  </si>
  <si>
    <t>Residential Multiple Unit</t>
  </si>
  <si>
    <t>Citi Community Capital-Tax Exempt</t>
  </si>
  <si>
    <t>Citi Community Capital-Taxable</t>
  </si>
  <si>
    <t>Redstone - Equity</t>
  </si>
  <si>
    <t>Deferred Costs</t>
  </si>
  <si>
    <t>Variable</t>
  </si>
  <si>
    <t>300 South Grand Ave, Suite 3110</t>
  </si>
  <si>
    <t>Los Angeles, CA 90071</t>
  </si>
  <si>
    <t>Hao Li</t>
  </si>
  <si>
    <t>(213) 239-1914</t>
  </si>
  <si>
    <t>Construction Loan</t>
  </si>
  <si>
    <t>SOFR</t>
  </si>
  <si>
    <t>Carlsbad</t>
  </si>
  <si>
    <t>Equity</t>
  </si>
  <si>
    <t>Tax Exempt Permanent Loan</t>
  </si>
  <si>
    <t>Citi Community Capital</t>
  </si>
  <si>
    <t>AHSC AHD</t>
  </si>
  <si>
    <t>Deferred Developer Fees</t>
  </si>
  <si>
    <t>785.317.9352</t>
  </si>
  <si>
    <t>2021 Vanesta Pl - Suite A</t>
  </si>
  <si>
    <t>Provided</t>
  </si>
  <si>
    <t>Not Applicable</t>
  </si>
  <si>
    <t>Elsey Holdings LLC</t>
  </si>
  <si>
    <t>Affordable Housing &amp; Sustainable Communities- AHD Loan</t>
  </si>
  <si>
    <t>City of Oceanside- Housing and Neighborhood Services Department</t>
  </si>
  <si>
    <t>Phone, Cable, Misc admin</t>
  </si>
  <si>
    <t>Benefits</t>
  </si>
  <si>
    <t>Supplies</t>
  </si>
  <si>
    <t>Other: (Performance Bonds)</t>
  </si>
  <si>
    <t>Other: (Internet Reserve- 3 Yrs)</t>
  </si>
  <si>
    <t>Other: (Issuer Fee)</t>
  </si>
  <si>
    <t>AHSC</t>
  </si>
  <si>
    <t>AHSC Loan</t>
  </si>
  <si>
    <t>651 Bannon Street, Suite 800</t>
  </si>
  <si>
    <t>Sacramento, CA 95811</t>
  </si>
  <si>
    <t>Jeffery Fong</t>
  </si>
  <si>
    <t>916-820-1488</t>
  </si>
  <si>
    <t>Other (Issuer Fees):</t>
  </si>
  <si>
    <t>Application fee, Late fee, etc.</t>
  </si>
  <si>
    <t>HCD - AHSC Annual Hard Payment</t>
  </si>
  <si>
    <t>GP- Dev Fee Contribution</t>
  </si>
  <si>
    <t>Other: ()</t>
  </si>
  <si>
    <t>Downtown, Sub-District 2 and no desity limit</t>
  </si>
  <si>
    <t>179 units</t>
  </si>
  <si>
    <t>Yes- 10% (18 units)</t>
  </si>
  <si>
    <t>65 feet / 90 with state density bonus</t>
  </si>
  <si>
    <t>1 per studio/0.5 per inclusionary unit</t>
  </si>
  <si>
    <t>(Landscape)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</si>
</sst>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14" fillId="5" borderId="6" xfId="244" applyFont="1" applyFill="1" applyBorder="1" applyAlignment="1" applyProtection="1">
      <alignment horizontal="left"/>
      <protection locked="0"/>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103" fillId="0" borderId="0" xfId="0" applyFont="1" applyAlignment="1">
      <alignment horizontal="left" vertical="top" wrapText="1"/>
    </xf>
    <xf numFmtId="0" fontId="43" fillId="0" borderId="0" xfId="0" applyFont="1" applyAlignment="1">
      <alignment horizontal="left" vertical="top" wrapText="1"/>
    </xf>
    <xf numFmtId="0" fontId="11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23" fillId="0" borderId="0" xfId="0" applyFont="1" applyAlignment="1">
      <alignment horizontal="left"/>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4" fillId="0" borderId="0" xfId="0"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3" fontId="42" fillId="10" borderId="0" xfId="543" applyNumberFormat="1" applyFont="1" applyFill="1" applyAlignment="1">
      <alignment horizontal="left" vertical="center" wrapText="1"/>
    </xf>
    <xf numFmtId="168" fontId="170"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23" fillId="0" borderId="0" xfId="0" applyFont="1" applyAlignment="1">
      <alignment horizontal="left" vertical="top" wrapText="1"/>
    </xf>
    <xf numFmtId="0" fontId="14" fillId="5" borderId="6" xfId="0" applyFont="1" applyFill="1" applyBorder="1" applyAlignment="1" applyProtection="1">
      <alignment horizontal="left"/>
      <protection locked="0"/>
    </xf>
    <xf numFmtId="0" fontId="23" fillId="5" borderId="6" xfId="0" applyFont="1" applyFill="1" applyBorder="1" applyAlignment="1" applyProtection="1">
      <alignment horizontal="left"/>
      <protection locked="0"/>
    </xf>
    <xf numFmtId="0" fontId="23" fillId="5" borderId="4" xfId="0" applyFont="1" applyFill="1" applyBorder="1" applyAlignment="1" applyProtection="1">
      <alignment wrapText="1"/>
      <protection locked="0"/>
    </xf>
    <xf numFmtId="0" fontId="23" fillId="5" borderId="4" xfId="0" applyFont="1" applyFill="1" applyBorder="1" applyAlignment="1" applyProtection="1">
      <alignment horizontal="left"/>
      <protection locked="0"/>
    </xf>
    <xf numFmtId="0" fontId="0" fillId="0" borderId="6" xfId="0" applyBorder="1" applyAlignment="1">
      <alignment horizontal="left"/>
    </xf>
    <xf numFmtId="0" fontId="0" fillId="5" borderId="6" xfId="0" applyFill="1" applyBorder="1" applyAlignment="1" applyProtection="1">
      <alignment horizontal="left"/>
      <protection locked="0"/>
    </xf>
    <xf numFmtId="0" fontId="21" fillId="0" borderId="11" xfId="0"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5" borderId="6" xfId="0" applyFill="1" applyBorder="1" applyAlignment="1" applyProtection="1">
      <alignment horizontal="center"/>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1" fillId="0" borderId="11" xfId="0" applyFont="1" applyBorder="1" applyAlignment="1">
      <alignment horizontal="center" vertical="center" wrapText="1"/>
    </xf>
    <xf numFmtId="0" fontId="14" fillId="5" borderId="11" xfId="0" applyFont="1" applyFill="1" applyBorder="1" applyAlignment="1" applyProtection="1">
      <alignment horizontal="left" wrapText="1"/>
      <protection locked="0"/>
    </xf>
    <xf numFmtId="172" fontId="21" fillId="0" borderId="11" xfId="0" applyNumberFormat="1" applyFont="1" applyBorder="1" applyAlignment="1">
      <alignment horizontal="center" vertical="center" wrapText="1"/>
    </xf>
    <xf numFmtId="0" fontId="20" fillId="3" borderId="0" xfId="0" applyFont="1" applyFill="1" applyAlignment="1">
      <alignment horizontal="center" vertical="center"/>
    </xf>
    <xf numFmtId="166" fontId="14" fillId="5" borderId="6" xfId="0" applyNumberFormat="1" applyFont="1" applyFill="1" applyBorder="1" applyAlignment="1" applyProtection="1">
      <alignment horizontal="left"/>
      <protection locked="0"/>
    </xf>
    <xf numFmtId="166" fontId="23"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166" fontId="14" fillId="5" borderId="4" xfId="0" applyNumberFormat="1" applyFont="1" applyFill="1" applyBorder="1" applyAlignment="1" applyProtection="1">
      <alignment horizontal="left"/>
      <protection locked="0"/>
    </xf>
    <xf numFmtId="166" fontId="23"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5" fontId="0" fillId="5" borderId="4" xfId="0" applyNumberFormat="1" applyFill="1" applyBorder="1" applyAlignment="1" applyProtection="1">
      <alignment horizontal="left" vertical="center" wrapText="1"/>
      <protection locked="0"/>
    </xf>
    <xf numFmtId="0" fontId="14" fillId="5" borderId="3"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0" fontId="14"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3" fillId="45" borderId="11" xfId="0" applyFont="1" applyFill="1"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23" fillId="0" borderId="11" xfId="0" applyFont="1" applyBorder="1" applyAlignment="1">
      <alignment horizontal="center"/>
    </xf>
    <xf numFmtId="0" fontId="0" fillId="0" borderId="11" xfId="0" applyBorder="1" applyAlignment="1">
      <alignment horizontal="center"/>
    </xf>
    <xf numFmtId="0" fontId="14" fillId="0" borderId="11" xfId="0" applyFont="1" applyBorder="1" applyAlignment="1">
      <alignment horizontal="center"/>
    </xf>
    <xf numFmtId="0" fontId="23" fillId="2" borderId="11" xfId="0" applyFont="1" applyFill="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168" fontId="0" fillId="5" borderId="11" xfId="0" applyNumberFormat="1" applyFill="1" applyBorder="1" applyAlignment="1" applyProtection="1">
      <alignment horizontal="right"/>
      <protection locked="0"/>
    </xf>
    <xf numFmtId="0" fontId="14" fillId="0" borderId="11" xfId="543" applyBorder="1" applyAlignment="1">
      <alignment horizontal="center"/>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14" fillId="0" borderId="3" xfId="0" applyFont="1" applyBorder="1"/>
    <xf numFmtId="0" fontId="14" fillId="0" borderId="4" xfId="0" applyFont="1" applyBorder="1"/>
    <xf numFmtId="0" fontId="14" fillId="0" borderId="5" xfId="0" applyFont="1" applyBorder="1"/>
    <xf numFmtId="0" fontId="14" fillId="5" borderId="4"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168" fontId="14" fillId="0" borderId="11" xfId="543" applyNumberFormat="1" applyBorder="1" applyAlignment="1">
      <alignment horizontal="center"/>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33" fillId="0" borderId="3" xfId="543" applyFont="1" applyBorder="1" applyAlignment="1">
      <alignment horizontal="center"/>
    </xf>
    <xf numFmtId="0" fontId="33" fillId="0" borderId="5" xfId="543" applyFon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21" fillId="0" borderId="1" xfId="0" applyFont="1" applyBorder="1" applyAlignment="1">
      <alignment horizontal="center" wrapText="1"/>
    </xf>
    <xf numFmtId="0" fontId="21" fillId="0" borderId="2"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168" fontId="0" fillId="5" borderId="11" xfId="0" applyNumberFormat="1" applyFill="1" applyBorder="1" applyAlignment="1" applyProtection="1">
      <alignment horizontal="center"/>
      <protection locked="0"/>
    </xf>
    <xf numFmtId="0" fontId="21" fillId="0" borderId="0" xfId="0" applyFont="1" applyAlignment="1">
      <alignment horizontal="center" vertical="center"/>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180" fontId="0" fillId="0" borderId="6" xfId="0" applyNumberFormat="1" applyBorder="1" applyAlignment="1">
      <alignment horizontal="center"/>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0" fontId="14" fillId="5" borderId="11" xfId="0" applyFont="1" applyFill="1" applyBorder="1" applyAlignment="1" applyProtection="1">
      <alignment vertical="center" wrapText="1"/>
      <protection locked="0"/>
    </xf>
    <xf numFmtId="0" fontId="23" fillId="0" borderId="3" xfId="0" applyFont="1" applyBorder="1" applyAlignment="1">
      <alignment horizontal="left"/>
    </xf>
    <xf numFmtId="1" fontId="23" fillId="5" borderId="11" xfId="0" applyNumberFormat="1" applyFont="1" applyFill="1" applyBorder="1" applyAlignment="1" applyProtection="1">
      <alignment horizont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2" fontId="14" fillId="0" borderId="0" xfId="543" applyNumberFormat="1" applyAlignment="1">
      <alignment horizontal="center"/>
    </xf>
    <xf numFmtId="0" fontId="14" fillId="0" borderId="0" xfId="543" applyAlignment="1">
      <alignment horizontal="center"/>
    </xf>
    <xf numFmtId="0" fontId="23" fillId="0" borderId="11" xfId="0" applyFont="1" applyBorder="1" applyAlignment="1">
      <alignment horizontal="center" vertical="top" wrapText="1"/>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9" fontId="14" fillId="5" borderId="3" xfId="0" applyNumberFormat="1" applyFont="1" applyFill="1" applyBorder="1" applyAlignment="1" applyProtection="1">
      <alignment horizontal="right"/>
      <protection locked="0"/>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71" fontId="14" fillId="0" borderId="0" xfId="543" applyNumberFormat="1" applyAlignment="1">
      <alignment horizontal="center"/>
    </xf>
    <xf numFmtId="0" fontId="23" fillId="0" borderId="1" xfId="0" applyFont="1" applyBorder="1" applyAlignment="1">
      <alignment horizontal="center" vertical="top" wrapText="1"/>
    </xf>
    <xf numFmtId="168" fontId="0" fillId="0" borderId="11" xfId="0" applyNumberFormat="1" applyBorder="1" applyAlignment="1">
      <alignment horizontal="center"/>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0" fontId="21" fillId="0" borderId="7" xfId="0" applyFont="1" applyBorder="1" applyAlignment="1">
      <alignment horizontal="center" wrapText="1"/>
    </xf>
    <xf numFmtId="168" fontId="23" fillId="5" borderId="6" xfId="0" applyNumberFormat="1" applyFont="1" applyFill="1" applyBorder="1" applyAlignment="1" applyProtection="1">
      <alignment horizontal="right"/>
      <protection locked="0"/>
    </xf>
    <xf numFmtId="168" fontId="23"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14" fillId="5" borderId="11" xfId="0" applyFont="1" applyFill="1" applyBorder="1" applyAlignment="1" applyProtection="1">
      <alignment horizontal="left" vertical="center" wrapText="1"/>
      <protection locked="0"/>
    </xf>
    <xf numFmtId="2" fontId="0" fillId="0" borderId="6" xfId="0" applyNumberFormat="1" applyBorder="1" applyAlignment="1">
      <alignment horizontal="center"/>
    </xf>
    <xf numFmtId="0" fontId="23" fillId="5" borderId="9" xfId="0" applyFont="1" applyFill="1" applyBorder="1" applyAlignment="1" applyProtection="1">
      <alignment horizontal="center"/>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1" fillId="0" borderId="11" xfId="0" applyFont="1" applyBorder="1" applyAlignment="1">
      <alignment horizontal="center" vertical="center"/>
    </xf>
    <xf numFmtId="0" fontId="21" fillId="0" borderId="6" xfId="0" applyFont="1" applyBorder="1" applyAlignment="1">
      <alignment horizontal="right"/>
    </xf>
    <xf numFmtId="0" fontId="14" fillId="5" borderId="4" xfId="0" applyFont="1" applyFill="1" applyBorder="1" applyAlignment="1" applyProtection="1">
      <alignment wrapText="1"/>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0" fontId="14" fillId="5" borderId="4" xfId="0" applyFont="1" applyFill="1" applyBorder="1" applyAlignment="1" applyProtection="1">
      <alignment horizontal="left" wrapText="1"/>
      <protection locked="0"/>
    </xf>
    <xf numFmtId="0" fontId="21" fillId="0" borderId="9" xfId="0" applyFont="1" applyBorder="1" applyAlignment="1">
      <alignment horizontal="center" vertical="center" wrapText="1"/>
    </xf>
    <xf numFmtId="0" fontId="0" fillId="5" borderId="3" xfId="0" applyFill="1" applyBorder="1" applyAlignment="1" applyProtection="1">
      <alignment horizontal="left"/>
      <protection locked="0"/>
    </xf>
    <xf numFmtId="0" fontId="0" fillId="0" borderId="9" xfId="0" applyBorder="1" applyAlignment="1">
      <alignment horizontal="left"/>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0" borderId="11" xfId="0" applyNumberFormat="1" applyBorder="1"/>
    <xf numFmtId="171" fontId="14" fillId="0" borderId="0" xfId="543" applyNumberFormat="1" applyAlignment="1">
      <alignment horizontal="right"/>
    </xf>
    <xf numFmtId="0" fontId="21" fillId="0" borderId="6" xfId="0" applyFon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5" borderId="11" xfId="0" applyNumberFormat="1" applyFill="1" applyBorder="1" applyProtection="1">
      <protection locked="0"/>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9" fontId="14" fillId="0" borderId="0" xfId="543" applyNumberFormat="1" applyAlignment="1">
      <alignment horizontal="center" vertical="center"/>
    </xf>
    <xf numFmtId="0" fontId="21" fillId="5" borderId="11" xfId="0" applyFont="1" applyFill="1" applyBorder="1" applyAlignment="1" applyProtection="1">
      <alignment horizontal="center"/>
      <protection locked="0"/>
    </xf>
    <xf numFmtId="0" fontId="14" fillId="43" borderId="11" xfId="0" applyFon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1" fillId="0" borderId="9" xfId="0" applyFont="1" applyBorder="1" applyAlignment="1">
      <alignment horizontal="right"/>
    </xf>
    <xf numFmtId="0" fontId="21" fillId="0" borderId="10" xfId="0" applyFont="1" applyBorder="1" applyAlignment="1">
      <alignment horizontal="right"/>
    </xf>
    <xf numFmtId="0" fontId="0" fillId="5" borderId="3" xfId="0" quotePrefix="1" applyFill="1" applyBorder="1" applyAlignment="1" applyProtection="1">
      <alignment horizontal="right"/>
      <protection locked="0"/>
    </xf>
    <xf numFmtId="0" fontId="23" fillId="5" borderId="6" xfId="271" applyFill="1" applyBorder="1" applyProtection="1">
      <protection locked="0"/>
    </xf>
    <xf numFmtId="10" fontId="0" fillId="5" borderId="4"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0" fontId="23" fillId="5" borderId="4" xfId="0" applyNumberFormat="1" applyFon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14" fillId="43" borderId="4" xfId="0" applyFont="1" applyFill="1" applyBorder="1" applyAlignment="1" applyProtection="1">
      <alignment horizontal="center"/>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4" fillId="5" borderId="6" xfId="244" applyFont="1" applyFill="1" applyBorder="1" applyAlignment="1" applyProtection="1">
      <alignment horizontal="left"/>
      <protection locked="0"/>
    </xf>
    <xf numFmtId="168" fontId="23" fillId="0" borderId="6" xfId="0" applyNumberFormat="1" applyFont="1" applyBorder="1" applyAlignment="1">
      <alignment horizontal="center"/>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0" fontId="22" fillId="0" borderId="0" xfId="0" applyFont="1" applyAlignment="1">
      <alignment horizontal="center"/>
    </xf>
    <xf numFmtId="0" fontId="0" fillId="5" borderId="6" xfId="0" applyFill="1" applyBorder="1" applyProtection="1">
      <protection locked="0"/>
    </xf>
    <xf numFmtId="0" fontId="23"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0" fontId="14" fillId="43" borderId="0" xfId="0" applyFont="1" applyFill="1" applyAlignment="1" applyProtection="1">
      <alignment horizontal="left" vertical="center" wrapText="1"/>
      <protection locked="0"/>
    </xf>
    <xf numFmtId="0" fontId="14"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14" fillId="0" borderId="6" xfId="0" applyFont="1" applyBorder="1" applyAlignment="1" applyProtection="1">
      <alignment horizontal="center"/>
      <protection locked="0"/>
    </xf>
    <xf numFmtId="166" fontId="23" fillId="5" borderId="6" xfId="271" applyNumberFormat="1" applyFill="1" applyBorder="1" applyAlignment="1" applyProtection="1">
      <alignment horizontal="left"/>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4" fillId="5" borderId="6" xfId="569" applyFill="1" applyBorder="1" applyAlignment="1" applyProtection="1">
      <alignment horizontal="left" wrapText="1"/>
      <protection locked="0"/>
    </xf>
    <xf numFmtId="0" fontId="14" fillId="5" borderId="6" xfId="569"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166" fontId="14" fillId="5" borderId="6" xfId="271" applyNumberFormat="1" applyFont="1" applyFill="1" applyBorder="1" applyAlignment="1" applyProtection="1">
      <alignment horizontal="left"/>
      <protection locked="0"/>
    </xf>
    <xf numFmtId="0" fontId="22" fillId="43" borderId="6" xfId="0" applyFont="1" applyFill="1" applyBorder="1" applyAlignment="1" applyProtection="1">
      <alignment horizontal="left"/>
      <protection locked="0"/>
    </xf>
    <xf numFmtId="0" fontId="167" fillId="0" borderId="0" xfId="0" applyFont="1" applyAlignment="1" applyProtection="1">
      <alignment horizontal="left" vertical="top" wrapText="1"/>
      <protection locked="0"/>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0" fontId="14" fillId="5" borderId="0" xfId="0" applyFont="1" applyFill="1" applyAlignment="1" applyProtection="1">
      <alignment horizontal="left" vertical="top" wrapText="1"/>
      <protection locked="0"/>
    </xf>
    <xf numFmtId="0" fontId="23" fillId="0" borderId="6" xfId="0" applyFont="1" applyBorder="1" applyAlignment="1">
      <alignment horizontal="left"/>
    </xf>
    <xf numFmtId="166" fontId="23" fillId="5" borderId="4" xfId="271" applyNumberForma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1" fontId="23" fillId="5" borderId="6" xfId="0" applyNumberFormat="1" applyFont="1" applyFill="1" applyBorder="1" applyAlignment="1" applyProtection="1">
      <alignment horizontal="right"/>
      <protection locked="0"/>
    </xf>
    <xf numFmtId="0" fontId="0" fillId="0" borderId="5" xfId="0" applyBorder="1" applyAlignment="1">
      <alignment horizontal="left"/>
    </xf>
    <xf numFmtId="0" fontId="14" fillId="5" borderId="4" xfId="0" applyFont="1" applyFill="1" applyBorder="1" applyAlignment="1" applyProtection="1">
      <alignment horizontal="center"/>
      <protection locked="0"/>
    </xf>
    <xf numFmtId="10" fontId="23" fillId="0" borderId="11" xfId="0" applyNumberFormat="1" applyFont="1" applyBorder="1" applyAlignment="1">
      <alignment horizontal="center"/>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3" fontId="23" fillId="5" borderId="11" xfId="0" applyNumberFormat="1" applyFont="1" applyFill="1" applyBorder="1" applyAlignment="1" applyProtection="1">
      <alignment horizontal="center"/>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1" fontId="23" fillId="5" borderId="11" xfId="0" quotePrefix="1" applyNumberFormat="1" applyFont="1" applyFill="1" applyBorder="1" applyAlignment="1" applyProtection="1">
      <alignment horizontal="center"/>
      <protection locked="0"/>
    </xf>
    <xf numFmtId="178" fontId="23" fillId="5" borderId="4"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0" fontId="14" fillId="43" borderId="4" xfId="0" applyFont="1" applyFill="1" applyBorder="1" applyAlignment="1" applyProtection="1">
      <alignment horizontal="left" wrapText="1"/>
      <protection locked="0"/>
    </xf>
    <xf numFmtId="0" fontId="33"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68" fontId="14" fillId="0" borderId="3" xfId="0" applyNumberFormat="1" applyFont="1" applyBorder="1" applyAlignment="1">
      <alignment horizontal="left" vertical="top"/>
    </xf>
    <xf numFmtId="168" fontId="23"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168" fontId="23" fillId="0" borderId="11" xfId="0" applyNumberFormat="1" applyFont="1" applyBorder="1" applyAlignment="1">
      <alignment horizontal="center"/>
    </xf>
    <xf numFmtId="3" fontId="23" fillId="0" borderId="11" xfId="0" applyNumberFormat="1" applyFont="1" applyBorder="1" applyAlignment="1">
      <alignment horizontal="center"/>
    </xf>
    <xf numFmtId="0" fontId="0" fillId="0" borderId="12" xfId="0"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4"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3" fontId="0" fillId="0" borderId="6" xfId="0" applyNumberFormat="1" applyBorder="1" applyAlignment="1">
      <alignment horizontal="right"/>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6" xfId="0" applyFont="1" applyBorder="1" applyAlignment="1">
      <alignment vertical="top" wrapText="1"/>
    </xf>
    <xf numFmtId="177" fontId="23" fillId="5" borderId="6" xfId="0" applyNumberFormat="1" applyFont="1" applyFill="1" applyBorder="1" applyAlignment="1" applyProtection="1">
      <alignment horizontal="left" vertical="top" wrapText="1"/>
      <protection locked="0"/>
    </xf>
    <xf numFmtId="0" fontId="23" fillId="0" borderId="2" xfId="0" applyFont="1" applyBorder="1" applyAlignment="1">
      <alignment vertical="top" wrapText="1"/>
    </xf>
    <xf numFmtId="0" fontId="51" fillId="0" borderId="0" xfId="0" applyFont="1" applyAlignment="1">
      <alignment vertical="top" wrapText="1"/>
    </xf>
    <xf numFmtId="0" fontId="23" fillId="0" borderId="2" xfId="0" applyFont="1" applyBorder="1" applyAlignment="1">
      <alignment horizontal="left" vertical="top" wrapText="1"/>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5" fontId="120" fillId="0" borderId="60"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4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51"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18" fillId="5" borderId="6" xfId="4495" applyFill="1" applyBorder="1" applyAlignment="1" applyProtection="1">
      <alignment horizontal="center"/>
      <protection locked="0"/>
    </xf>
    <xf numFmtId="0" fontId="21" fillId="0" borderId="0" xfId="4495" applyFont="1" applyAlignment="1">
      <alignment horizontal="left" vertical="top"/>
    </xf>
    <xf numFmtId="0" fontId="11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28" fillId="0" borderId="0" xfId="4495" applyFont="1" applyAlignment="1">
      <alignment horizontal="left" vertical="top" wrapText="1"/>
    </xf>
    <xf numFmtId="0" fontId="11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2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18" fillId="5" borderId="50" xfId="4495" applyFill="1" applyBorder="1" applyAlignment="1">
      <alignment horizontal="center"/>
    </xf>
    <xf numFmtId="0" fontId="118" fillId="5" borderId="51" xfId="4495" applyFill="1" applyBorder="1" applyAlignment="1">
      <alignment horizontal="center"/>
    </xf>
    <xf numFmtId="0" fontId="51" fillId="0" borderId="51" xfId="4495" applyFont="1" applyBorder="1" applyAlignment="1">
      <alignment horizontal="left" wrapText="1"/>
    </xf>
    <xf numFmtId="0" fontId="51" fillId="0" borderId="0" xfId="4495" applyFont="1" applyAlignment="1">
      <alignment horizontal="left"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0" borderId="0" xfId="4495" applyAlignment="1">
      <alignment horizontal="center"/>
    </xf>
    <xf numFmtId="9" fontId="22" fillId="5" borderId="6"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0" borderId="53" xfId="4495" applyBorder="1"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1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40" fillId="0" borderId="0" xfId="1192" applyFont="1" applyAlignment="1">
      <alignment horizontal="center"/>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11" xfId="4496" applyFont="1" applyBorder="1"/>
    <xf numFmtId="0" fontId="96" fillId="0" borderId="91" xfId="4496" applyFont="1" applyBorder="1"/>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49" fontId="134" fillId="3" borderId="0" xfId="1192" applyNumberFormat="1" applyFont="1" applyFill="1" applyAlignment="1">
      <alignment horizontal="center" vertical="center"/>
    </xf>
    <xf numFmtId="0" fontId="96" fillId="0" borderId="11" xfId="4496" applyFont="1" applyBorder="1" applyAlignment="1">
      <alignment horizontal="left" indent="1"/>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44" fontId="2" fillId="44"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protection hidden="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9" fontId="147" fillId="49" borderId="13" xfId="8726" applyNumberFormat="1" applyFont="1" applyFill="1" applyBorder="1" applyAlignment="1" applyProtection="1">
      <alignment horizontal="center"/>
      <protection locked="0"/>
    </xf>
    <xf numFmtId="0" fontId="147" fillId="44" borderId="86"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0" fontId="147" fillId="44" borderId="88"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0" fontId="162"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0" fontId="144" fillId="45" borderId="70"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61" fillId="49" borderId="80" xfId="8726" applyFont="1" applyFill="1" applyBorder="1" applyAlignment="1" applyProtection="1">
      <alignment horizontal="center"/>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00" fillId="45" borderId="91" xfId="8726" applyFont="1" applyFill="1" applyBorder="1" applyAlignment="1">
      <alignment horizontal="center"/>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63" fillId="49" borderId="11" xfId="8726" applyFont="1" applyFill="1" applyBorder="1" applyAlignment="1" applyProtection="1">
      <alignment horizontal="center"/>
      <protection locked="0"/>
    </xf>
    <xf numFmtId="14" fontId="161"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14" fontId="163" fillId="49" borderId="11" xfId="8726" applyNumberFormat="1" applyFont="1" applyFill="1" applyBorder="1" applyAlignment="1" applyProtection="1">
      <alignment horizontal="center"/>
      <protection locked="0"/>
    </xf>
    <xf numFmtId="0" fontId="157" fillId="49" borderId="11" xfId="8726" applyFont="1" applyFill="1" applyBorder="1" applyAlignment="1" applyProtection="1">
      <alignment horizontal="left"/>
      <protection locked="0"/>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44" fillId="45" borderId="74" xfId="8726" applyFont="1" applyFill="1" applyBorder="1" applyAlignment="1">
      <alignment horizontal="left"/>
    </xf>
    <xf numFmtId="14" fontId="161"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44" fontId="2" fillId="49" borderId="11" xfId="700" applyFont="1" applyFill="1" applyBorder="1" applyAlignment="1" applyProtection="1">
      <alignment horizontal="center"/>
      <protection locked="0"/>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168" fontId="161" fillId="49" borderId="11" xfId="700" applyNumberFormat="1" applyFont="1" applyFill="1" applyBorder="1" applyAlignment="1" applyProtection="1">
      <alignment horizontal="left"/>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182" fontId="2"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3" fillId="49" borderId="1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43" fontId="145" fillId="53" borderId="41"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44" fontId="176" fillId="49" borderId="11" xfId="700" applyFont="1" applyFill="1" applyBorder="1" applyAlignment="1" applyProtection="1">
      <alignment horizontal="center"/>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89"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10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51"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D0B80356-5BD3-46BC-A663-09331C195E4F}"/>
    <cellStyle name="20% - Accent1 11" xfId="8729" xr:uid="{5BF76FFB-2E66-42A9-93F5-442AF47518AE}"/>
    <cellStyle name="20% - Accent1 2" xfId="2" xr:uid="{00000000-0005-0000-0000-000002000000}"/>
    <cellStyle name="20% - Accent1 2 10" xfId="8730" xr:uid="{81D02AC4-330E-49B4-B855-BF474882FD1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F189BBC9-C8DA-4DC5-80FD-6D1013A04844}"/>
    <cellStyle name="20% - Accent1 2 2 2 2 2 3" xfId="11291" xr:uid="{249B7D4C-758D-4EFF-B732-4A57E3B3B42C}"/>
    <cellStyle name="20% - Accent1 2 2 2 2 3" xfId="4922" xr:uid="{00000000-0005-0000-0000-000008000000}"/>
    <cellStyle name="20% - Accent1 2 2 2 2 3 2" xfId="13364" xr:uid="{2BDCF16D-CE79-4B67-A59A-9EA980E59DC3}"/>
    <cellStyle name="20% - Accent1 2 2 2 2 4" xfId="9146" xr:uid="{E28AE8C8-C925-4235-B67E-16B33E93D29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1530D541-DCC2-45DF-99EB-E342F008676D}"/>
    <cellStyle name="20% - Accent1 2 2 2 3 2 3" xfId="11704" xr:uid="{D4EE4DB1-413F-4A9B-80DB-32A6B2D77683}"/>
    <cellStyle name="20% - Accent1 2 2 2 3 3" xfId="5335" xr:uid="{00000000-0005-0000-0000-00000C000000}"/>
    <cellStyle name="20% - Accent1 2 2 2 3 3 2" xfId="13777" xr:uid="{CE7945F0-C569-455E-B6C8-98E1168E3495}"/>
    <cellStyle name="20% - Accent1 2 2 2 3 4" xfId="9559" xr:uid="{79029331-55B1-4B5C-96A1-A012539A343B}"/>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286F3E7F-8142-408D-AC31-E2242D0A8174}"/>
    <cellStyle name="20% - Accent1 2 2 2 4 2 3" xfId="12117" xr:uid="{F03B0437-2C1E-48A7-ADD7-55C13C9DD306}"/>
    <cellStyle name="20% - Accent1 2 2 2 4 3" xfId="5748" xr:uid="{00000000-0005-0000-0000-000010000000}"/>
    <cellStyle name="20% - Accent1 2 2 2 4 3 2" xfId="14190" xr:uid="{8C61ADAC-CC6D-41F5-B613-0F54D9972C38}"/>
    <cellStyle name="20% - Accent1 2 2 2 4 4" xfId="9972" xr:uid="{C973A3F5-0D3F-42B8-A71D-DCB167BF7EAC}"/>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C27379BA-002C-41B2-99BF-2A13075C5D9C}"/>
    <cellStyle name="20% - Accent1 2 2 2 5 2 3" xfId="12530" xr:uid="{875BCCFB-0935-44F6-8B34-CC6BCF9F021F}"/>
    <cellStyle name="20% - Accent1 2 2 2 5 3" xfId="6161" xr:uid="{00000000-0005-0000-0000-000014000000}"/>
    <cellStyle name="20% - Accent1 2 2 2 5 3 2" xfId="14603" xr:uid="{6B23D5E9-E282-489D-9963-E84B4DE6D09C}"/>
    <cellStyle name="20% - Accent1 2 2 2 5 4" xfId="10385" xr:uid="{F510C4F3-9341-46B9-9A80-467CBCB857C0}"/>
    <cellStyle name="20% - Accent1 2 2 2 6" xfId="2267" xr:uid="{00000000-0005-0000-0000-000015000000}"/>
    <cellStyle name="20% - Accent1 2 2 2 6 2" xfId="6574" xr:uid="{00000000-0005-0000-0000-000016000000}"/>
    <cellStyle name="20% - Accent1 2 2 2 6 2 2" xfId="15016" xr:uid="{591B035F-98C6-4D42-A596-0E6D8629DF4B}"/>
    <cellStyle name="20% - Accent1 2 2 2 6 3" xfId="10798" xr:uid="{3D622761-DA74-4818-95E7-5FF822560A72}"/>
    <cellStyle name="20% - Accent1 2 2 2 7" xfId="4508" xr:uid="{00000000-0005-0000-0000-000017000000}"/>
    <cellStyle name="20% - Accent1 2 2 2 7 2" xfId="12950" xr:uid="{766222D8-3737-40F7-91AB-170A095662E0}"/>
    <cellStyle name="20% - Accent1 2 2 2 8" xfId="8732" xr:uid="{5A05C7A0-24E5-4960-8DCF-B9C3CB046E24}"/>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D4F814B3-8F22-4D01-A56A-CEA85049FB34}"/>
    <cellStyle name="20% - Accent1 2 2 3 2 3" xfId="11290" xr:uid="{393CFFC0-BBBA-49D5-8163-9C7822548205}"/>
    <cellStyle name="20% - Accent1 2 2 3 3" xfId="4921" xr:uid="{00000000-0005-0000-0000-00001B000000}"/>
    <cellStyle name="20% - Accent1 2 2 3 3 2" xfId="13363" xr:uid="{34A893BC-0648-471C-BAA0-1741EECB56BB}"/>
    <cellStyle name="20% - Accent1 2 2 3 4" xfId="9145" xr:uid="{C9B67B4B-EBCB-4B80-9F45-295F2E1E443F}"/>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1FEC531D-A483-4004-A0EA-00A931527C43}"/>
    <cellStyle name="20% - Accent1 2 2 4 2 3" xfId="11703" xr:uid="{CCC88F5A-DEF9-403D-ADC9-670C7B2E98BC}"/>
    <cellStyle name="20% - Accent1 2 2 4 3" xfId="5334" xr:uid="{00000000-0005-0000-0000-00001F000000}"/>
    <cellStyle name="20% - Accent1 2 2 4 3 2" xfId="13776" xr:uid="{3984403C-A792-4A35-B70E-64A6469A0CA0}"/>
    <cellStyle name="20% - Accent1 2 2 4 4" xfId="9558" xr:uid="{852DC116-C8DA-4975-AC24-CB0EF6ACB33D}"/>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F1E3A3C0-CF48-4909-A1CA-F9D9A6189AED}"/>
    <cellStyle name="20% - Accent1 2 2 5 2 3" xfId="12116" xr:uid="{428E3BEE-DE8C-4C84-8A14-EA7712C678A8}"/>
    <cellStyle name="20% - Accent1 2 2 5 3" xfId="5747" xr:uid="{00000000-0005-0000-0000-000023000000}"/>
    <cellStyle name="20% - Accent1 2 2 5 3 2" xfId="14189" xr:uid="{473E85E3-E4F5-4D82-BE33-13D535235860}"/>
    <cellStyle name="20% - Accent1 2 2 5 4" xfId="9971" xr:uid="{49192E60-D82B-409B-910E-55FE5127D21C}"/>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2440E50F-56D6-4B68-81CD-E1099B8E5550}"/>
    <cellStyle name="20% - Accent1 2 2 6 2 3" xfId="12529" xr:uid="{925C0CEF-0D4A-4539-9A05-0B2ABD612A6C}"/>
    <cellStyle name="20% - Accent1 2 2 6 3" xfId="6160" xr:uid="{00000000-0005-0000-0000-000027000000}"/>
    <cellStyle name="20% - Accent1 2 2 6 3 2" xfId="14602" xr:uid="{CD828589-0FD0-4B6D-B001-8FB55F9CA03F}"/>
    <cellStyle name="20% - Accent1 2 2 6 4" xfId="10384" xr:uid="{BF484B5D-C644-4F19-A608-D6C89F6820A0}"/>
    <cellStyle name="20% - Accent1 2 2 7" xfId="2266" xr:uid="{00000000-0005-0000-0000-000028000000}"/>
    <cellStyle name="20% - Accent1 2 2 7 2" xfId="6573" xr:uid="{00000000-0005-0000-0000-000029000000}"/>
    <cellStyle name="20% - Accent1 2 2 7 2 2" xfId="15015" xr:uid="{17765EC4-057A-4BF4-95DD-45CE065A9C42}"/>
    <cellStyle name="20% - Accent1 2 2 7 3" xfId="10797" xr:uid="{0BE1E111-A211-484B-AD13-E9D8EA7F05BC}"/>
    <cellStyle name="20% - Accent1 2 2 8" xfId="4507" xr:uid="{00000000-0005-0000-0000-00002A000000}"/>
    <cellStyle name="20% - Accent1 2 2 8 2" xfId="12949" xr:uid="{1F9FEC0F-A400-4322-8DE4-B92EFB4BD423}"/>
    <cellStyle name="20% - Accent1 2 2 9" xfId="8731" xr:uid="{A700AE59-FEB0-4AE7-B00D-81A2180E6CF6}"/>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12E9DF09-21C3-4AD4-81A7-AA45C96A400F}"/>
    <cellStyle name="20% - Accent1 2 3 2 2 3" xfId="11292" xr:uid="{FED943A3-F7ED-45A5-A594-23A2238ED30D}"/>
    <cellStyle name="20% - Accent1 2 3 2 3" xfId="4923" xr:uid="{00000000-0005-0000-0000-00002F000000}"/>
    <cellStyle name="20% - Accent1 2 3 2 3 2" xfId="13365" xr:uid="{83F54108-3BCB-470C-9032-2C84A2919243}"/>
    <cellStyle name="20% - Accent1 2 3 2 4" xfId="9147" xr:uid="{FEAEFE7C-6864-4524-8F2F-2FCC0F8410ED}"/>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2376FF68-7582-4D2E-8732-C593FB51D085}"/>
    <cellStyle name="20% - Accent1 2 3 3 2 3" xfId="11705" xr:uid="{8054B8C6-D69C-4951-8054-3B83B5E439EA}"/>
    <cellStyle name="20% - Accent1 2 3 3 3" xfId="5336" xr:uid="{00000000-0005-0000-0000-000033000000}"/>
    <cellStyle name="20% - Accent1 2 3 3 3 2" xfId="13778" xr:uid="{792C752B-BA0C-4C66-878C-462D4C1E02B3}"/>
    <cellStyle name="20% - Accent1 2 3 3 4" xfId="9560" xr:uid="{2A89B715-7640-442B-98DA-F18D8E1EA0D6}"/>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5658B761-1B02-420F-AB57-D1A1597E3561}"/>
    <cellStyle name="20% - Accent1 2 3 4 2 3" xfId="12118" xr:uid="{81185AFF-01EF-4DDD-BD64-DBA177F6DB7A}"/>
    <cellStyle name="20% - Accent1 2 3 4 3" xfId="5749" xr:uid="{00000000-0005-0000-0000-000037000000}"/>
    <cellStyle name="20% - Accent1 2 3 4 3 2" xfId="14191" xr:uid="{5A44FE96-D813-4EF9-9511-3EA47EDAF848}"/>
    <cellStyle name="20% - Accent1 2 3 4 4" xfId="9973" xr:uid="{168C02DF-9428-4469-A4FD-F9C0EDCA9018}"/>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FC785E69-7E87-4E54-881B-7E8AE2D43527}"/>
    <cellStyle name="20% - Accent1 2 3 5 2 3" xfId="12531" xr:uid="{6FEDA7B3-4FE0-4DDC-8525-8D8EF720C31E}"/>
    <cellStyle name="20% - Accent1 2 3 5 3" xfId="6162" xr:uid="{00000000-0005-0000-0000-00003B000000}"/>
    <cellStyle name="20% - Accent1 2 3 5 3 2" xfId="14604" xr:uid="{91546534-5390-450F-BDE4-C7CB0E52B4B7}"/>
    <cellStyle name="20% - Accent1 2 3 5 4" xfId="10386" xr:uid="{217D8D7C-8632-4A00-92BD-A02FDA9D1FFE}"/>
    <cellStyle name="20% - Accent1 2 3 6" xfId="2268" xr:uid="{00000000-0005-0000-0000-00003C000000}"/>
    <cellStyle name="20% - Accent1 2 3 6 2" xfId="6575" xr:uid="{00000000-0005-0000-0000-00003D000000}"/>
    <cellStyle name="20% - Accent1 2 3 6 2 2" xfId="15017" xr:uid="{F0D269B5-6E42-4A94-A762-20D35E2F97EA}"/>
    <cellStyle name="20% - Accent1 2 3 6 3" xfId="10799" xr:uid="{126A7613-7039-4716-9394-3AD920E5544D}"/>
    <cellStyle name="20% - Accent1 2 3 7" xfId="4509" xr:uid="{00000000-0005-0000-0000-00003E000000}"/>
    <cellStyle name="20% - Accent1 2 3 7 2" xfId="12951" xr:uid="{3CB60F5C-078C-4954-B969-021366DF8882}"/>
    <cellStyle name="20% - Accent1 2 3 8" xfId="8733" xr:uid="{C4EEDCB6-8AA0-4118-A8B7-B448F9752D72}"/>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8D3E9EAB-E8D7-4C11-A721-079F739FBC60}"/>
    <cellStyle name="20% - Accent1 2 4 2 3" xfId="11289" xr:uid="{D4021036-9EDA-4BB3-9F76-D781BDF828F4}"/>
    <cellStyle name="20% - Accent1 2 4 3" xfId="4920" xr:uid="{00000000-0005-0000-0000-000042000000}"/>
    <cellStyle name="20% - Accent1 2 4 3 2" xfId="13362" xr:uid="{BD93C511-720E-4CEF-A12B-A0B405CF82FE}"/>
    <cellStyle name="20% - Accent1 2 4 4" xfId="9144" xr:uid="{EB03BEA0-B398-4CE2-9EC4-C564AE8586C9}"/>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29B9F804-5A80-48DD-9007-8247367E49EB}"/>
    <cellStyle name="20% - Accent1 2 5 2 3" xfId="11702" xr:uid="{FBE29A6C-8AD5-4745-8CA1-96E9E0B734BD}"/>
    <cellStyle name="20% - Accent1 2 5 3" xfId="5333" xr:uid="{00000000-0005-0000-0000-000046000000}"/>
    <cellStyle name="20% - Accent1 2 5 3 2" xfId="13775" xr:uid="{C43D588D-1CA5-4BF4-9D8A-16B402CDCC69}"/>
    <cellStyle name="20% - Accent1 2 5 4" xfId="9557" xr:uid="{152F4F4D-239D-4D00-88D9-663B96E0EBF6}"/>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19500680-753D-4597-858C-D43A40D097EE}"/>
    <cellStyle name="20% - Accent1 2 6 2 3" xfId="12115" xr:uid="{A19CF1FD-46AF-4B6D-BCAC-F63E4C90AB18}"/>
    <cellStyle name="20% - Accent1 2 6 3" xfId="5746" xr:uid="{00000000-0005-0000-0000-00004A000000}"/>
    <cellStyle name="20% - Accent1 2 6 3 2" xfId="14188" xr:uid="{07BF4823-9D11-446B-ADA7-C413809FEC6C}"/>
    <cellStyle name="20% - Accent1 2 6 4" xfId="9970" xr:uid="{8947A870-315F-4697-97B7-5711D2023A7E}"/>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78C6A837-0CB2-49E8-8365-53235E6181EE}"/>
    <cellStyle name="20% - Accent1 2 7 2 3" xfId="12528" xr:uid="{EA68CE59-D1C3-4D9C-8EE1-1EAFACBAAEF3}"/>
    <cellStyle name="20% - Accent1 2 7 3" xfId="6159" xr:uid="{00000000-0005-0000-0000-00004E000000}"/>
    <cellStyle name="20% - Accent1 2 7 3 2" xfId="14601" xr:uid="{E002C54F-2CC2-487B-B1C2-FF63237A907B}"/>
    <cellStyle name="20% - Accent1 2 7 4" xfId="10383" xr:uid="{371CC2BD-6626-495A-9AD4-0EBBBFDBF1C1}"/>
    <cellStyle name="20% - Accent1 2 8" xfId="2265" xr:uid="{00000000-0005-0000-0000-00004F000000}"/>
    <cellStyle name="20% - Accent1 2 8 2" xfId="6572" xr:uid="{00000000-0005-0000-0000-000050000000}"/>
    <cellStyle name="20% - Accent1 2 8 2 2" xfId="15014" xr:uid="{0F48C972-A085-4CA0-812B-AAC26FB85C7D}"/>
    <cellStyle name="20% - Accent1 2 8 3" xfId="10796" xr:uid="{7CD0A986-9F98-4253-8B3B-DEB5AD915970}"/>
    <cellStyle name="20% - Accent1 2 9" xfId="4506" xr:uid="{00000000-0005-0000-0000-000051000000}"/>
    <cellStyle name="20% - Accent1 2 9 2" xfId="12948" xr:uid="{2E5B7398-1169-41B4-A4E1-0D2F801B5C0E}"/>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68DE0814-95F0-45F3-91AF-9F064D1D54CE}"/>
    <cellStyle name="20% - Accent1 3 2 2 2 3" xfId="11294" xr:uid="{E9122D4E-AE00-4D0F-A55D-345D859396C6}"/>
    <cellStyle name="20% - Accent1 3 2 2 3" xfId="4925" xr:uid="{00000000-0005-0000-0000-000057000000}"/>
    <cellStyle name="20% - Accent1 3 2 2 3 2" xfId="13367" xr:uid="{591F93D6-BAB7-4667-81B7-ACA3ABA8EA50}"/>
    <cellStyle name="20% - Accent1 3 2 2 4" xfId="9149" xr:uid="{9F313424-9C33-4A90-AB66-6F78117B6480}"/>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404EB9D0-9263-49EC-A96E-2ABF4B609F2B}"/>
    <cellStyle name="20% - Accent1 3 2 3 2 3" xfId="11707" xr:uid="{B47C85C8-E732-4F08-A297-711F38EE8425}"/>
    <cellStyle name="20% - Accent1 3 2 3 3" xfId="5338" xr:uid="{00000000-0005-0000-0000-00005B000000}"/>
    <cellStyle name="20% - Accent1 3 2 3 3 2" xfId="13780" xr:uid="{FCAC17A1-E824-453B-985C-AEF89F656D7E}"/>
    <cellStyle name="20% - Accent1 3 2 3 4" xfId="9562" xr:uid="{5BBE8E9A-F5BA-4480-AA3C-6D49EBE63A7E}"/>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CD69DD4B-3EBD-4CAC-9DC0-3C5D09B67E49}"/>
    <cellStyle name="20% - Accent1 3 2 4 2 3" xfId="12120" xr:uid="{6908B720-5403-4FA7-9C8F-F044C5D1D6A2}"/>
    <cellStyle name="20% - Accent1 3 2 4 3" xfId="5751" xr:uid="{00000000-0005-0000-0000-00005F000000}"/>
    <cellStyle name="20% - Accent1 3 2 4 3 2" xfId="14193" xr:uid="{CB495F68-39AE-44A6-A1E1-2441AF295370}"/>
    <cellStyle name="20% - Accent1 3 2 4 4" xfId="9975" xr:uid="{BBD2A09C-737B-4B4C-8514-7A1C346D1BCD}"/>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129FDC74-7B1A-475B-AD20-55ECE0312399}"/>
    <cellStyle name="20% - Accent1 3 2 5 2 3" xfId="12533" xr:uid="{6D13CC8C-B161-4633-8F1A-A61F93C47702}"/>
    <cellStyle name="20% - Accent1 3 2 5 3" xfId="6164" xr:uid="{00000000-0005-0000-0000-000063000000}"/>
    <cellStyle name="20% - Accent1 3 2 5 3 2" xfId="14606" xr:uid="{77E39345-61D5-4C05-A7C4-ADE014E44493}"/>
    <cellStyle name="20% - Accent1 3 2 5 4" xfId="10388" xr:uid="{96A8798D-BBBD-410C-AE1C-E5F6B698A234}"/>
    <cellStyle name="20% - Accent1 3 2 6" xfId="2270" xr:uid="{00000000-0005-0000-0000-000064000000}"/>
    <cellStyle name="20% - Accent1 3 2 6 2" xfId="6577" xr:uid="{00000000-0005-0000-0000-000065000000}"/>
    <cellStyle name="20% - Accent1 3 2 6 2 2" xfId="15019" xr:uid="{B43AF918-B6D0-4B1F-8F5D-BC05F0E17AB5}"/>
    <cellStyle name="20% - Accent1 3 2 6 3" xfId="10801" xr:uid="{7D7ED7DE-6ED4-4E2B-BF01-AC9F5996DFE9}"/>
    <cellStyle name="20% - Accent1 3 2 7" xfId="4511" xr:uid="{00000000-0005-0000-0000-000066000000}"/>
    <cellStyle name="20% - Accent1 3 2 7 2" xfId="12953" xr:uid="{FED3289A-9C34-415D-AED5-D146EE5926BC}"/>
    <cellStyle name="20% - Accent1 3 2 8" xfId="8735" xr:uid="{E9C8EBB8-7D6C-49FE-B1FB-6921A73CAEE9}"/>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25915C9B-3B71-4B4E-A992-E0F0783D8189}"/>
    <cellStyle name="20% - Accent1 3 3 2 3" xfId="11293" xr:uid="{382B9FF5-C625-405E-B98D-2E86B9CAEA7D}"/>
    <cellStyle name="20% - Accent1 3 3 3" xfId="4924" xr:uid="{00000000-0005-0000-0000-00006A000000}"/>
    <cellStyle name="20% - Accent1 3 3 3 2" xfId="13366" xr:uid="{1A6229F5-B495-444E-B9EF-91031FDFBC70}"/>
    <cellStyle name="20% - Accent1 3 3 4" xfId="9148" xr:uid="{0F11970A-765E-47B4-AE8E-DE05BF09EE2E}"/>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1F31C183-FBFA-4BE0-90D3-A12E7E881F97}"/>
    <cellStyle name="20% - Accent1 3 4 2 3" xfId="11706" xr:uid="{CBFE6B05-BE12-4BF4-9C4B-861FC57ACA94}"/>
    <cellStyle name="20% - Accent1 3 4 3" xfId="5337" xr:uid="{00000000-0005-0000-0000-00006E000000}"/>
    <cellStyle name="20% - Accent1 3 4 3 2" xfId="13779" xr:uid="{5BDA8E94-FA68-47A8-82B4-23D9F0669DE5}"/>
    <cellStyle name="20% - Accent1 3 4 4" xfId="9561" xr:uid="{66B28E84-8216-4434-95EF-EE8DA0DDC7C7}"/>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E3ED4DF5-E767-4C2E-A7BD-1AD9F988F5B1}"/>
    <cellStyle name="20% - Accent1 3 5 2 3" xfId="12119" xr:uid="{A7B91DE0-FF1A-4262-A6F3-82AB937B4F0F}"/>
    <cellStyle name="20% - Accent1 3 5 3" xfId="5750" xr:uid="{00000000-0005-0000-0000-000072000000}"/>
    <cellStyle name="20% - Accent1 3 5 3 2" xfId="14192" xr:uid="{762C351C-7032-4A47-A5AB-1CDD6B9CEC73}"/>
    <cellStyle name="20% - Accent1 3 5 4" xfId="9974" xr:uid="{0B30C7DE-D5A5-4CD8-821F-FC0A9443BEDE}"/>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88EB183C-4F09-4C48-883D-3A3A6C1B5D08}"/>
    <cellStyle name="20% - Accent1 3 6 2 3" xfId="12532" xr:uid="{3761C343-CC6F-4C7F-9861-EA84B9E421A5}"/>
    <cellStyle name="20% - Accent1 3 6 3" xfId="6163" xr:uid="{00000000-0005-0000-0000-000076000000}"/>
    <cellStyle name="20% - Accent1 3 6 3 2" xfId="14605" xr:uid="{1CFCD23A-4E1A-4F38-9F3A-C72502636857}"/>
    <cellStyle name="20% - Accent1 3 6 4" xfId="10387" xr:uid="{9E10442F-B34C-47C3-A50B-ADA4C0E27DB9}"/>
    <cellStyle name="20% - Accent1 3 7" xfId="2269" xr:uid="{00000000-0005-0000-0000-000077000000}"/>
    <cellStyle name="20% - Accent1 3 7 2" xfId="6576" xr:uid="{00000000-0005-0000-0000-000078000000}"/>
    <cellStyle name="20% - Accent1 3 7 2 2" xfId="15018" xr:uid="{7181029E-435C-4DEB-ABF5-EAB8ACD6A073}"/>
    <cellStyle name="20% - Accent1 3 7 3" xfId="10800" xr:uid="{75C56665-3E63-4411-A331-1E96644A9D54}"/>
    <cellStyle name="20% - Accent1 3 8" xfId="4510" xr:uid="{00000000-0005-0000-0000-000079000000}"/>
    <cellStyle name="20% - Accent1 3 8 2" xfId="12952" xr:uid="{0766DC7A-1D93-4319-8ADB-DB62A99ABEB0}"/>
    <cellStyle name="20% - Accent1 3 9" xfId="8734" xr:uid="{B6A394D9-54BB-43F1-8DCA-8D05DC1C6C31}"/>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38F7B131-9EA9-4642-A096-FC78022CDE2B}"/>
    <cellStyle name="20% - Accent1 4 2 2 3" xfId="11295" xr:uid="{C3E06105-0D6B-4244-A379-E228564198E9}"/>
    <cellStyle name="20% - Accent1 4 2 3" xfId="4926" xr:uid="{00000000-0005-0000-0000-00007E000000}"/>
    <cellStyle name="20% - Accent1 4 2 3 2" xfId="13368" xr:uid="{AB6A50A9-45A9-4A19-92F0-637AD30A504D}"/>
    <cellStyle name="20% - Accent1 4 2 4" xfId="9150" xr:uid="{A368A79B-CF95-4160-91C2-F781D9E04266}"/>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1929A1BC-33B7-463B-96A2-D7704A4636FA}"/>
    <cellStyle name="20% - Accent1 4 3 2 3" xfId="11708" xr:uid="{51646879-3EC2-4895-B8AC-5B1AE4912674}"/>
    <cellStyle name="20% - Accent1 4 3 3" xfId="5339" xr:uid="{00000000-0005-0000-0000-000082000000}"/>
    <cellStyle name="20% - Accent1 4 3 3 2" xfId="13781" xr:uid="{80C4B0FD-22DB-4B8F-B70A-1A0E23971444}"/>
    <cellStyle name="20% - Accent1 4 3 4" xfId="9563" xr:uid="{A23F9E7D-9018-4D33-AB37-DCE9DB2BC0E0}"/>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18050C27-3006-43EF-A148-BFDFFADF048C}"/>
    <cellStyle name="20% - Accent1 4 4 2 3" xfId="12121" xr:uid="{002D9A4E-82E3-45D5-8F9E-B7322E49FF4A}"/>
    <cellStyle name="20% - Accent1 4 4 3" xfId="5752" xr:uid="{00000000-0005-0000-0000-000086000000}"/>
    <cellStyle name="20% - Accent1 4 4 3 2" xfId="14194" xr:uid="{E19F5F10-6768-41DC-9F0A-CD4920EFE6E5}"/>
    <cellStyle name="20% - Accent1 4 4 4" xfId="9976" xr:uid="{D364BBED-6380-414B-B529-F2F047915DBE}"/>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104A2A6D-9A96-47DC-9D4F-04672B11FC3A}"/>
    <cellStyle name="20% - Accent1 4 5 2 3" xfId="12534" xr:uid="{ED9D2285-19EE-4801-A23D-DEC1EB38BB5E}"/>
    <cellStyle name="20% - Accent1 4 5 3" xfId="6165" xr:uid="{00000000-0005-0000-0000-00008A000000}"/>
    <cellStyle name="20% - Accent1 4 5 3 2" xfId="14607" xr:uid="{D05EAF34-F3A0-478E-AB67-5195BF565FBE}"/>
    <cellStyle name="20% - Accent1 4 5 4" xfId="10389" xr:uid="{73922BCA-FA46-4743-872A-B36A99F8FC2E}"/>
    <cellStyle name="20% - Accent1 4 6" xfId="2271" xr:uid="{00000000-0005-0000-0000-00008B000000}"/>
    <cellStyle name="20% - Accent1 4 6 2" xfId="6578" xr:uid="{00000000-0005-0000-0000-00008C000000}"/>
    <cellStyle name="20% - Accent1 4 6 2 2" xfId="15020" xr:uid="{11264271-0D76-4BF2-87C1-CEC589ABBE1E}"/>
    <cellStyle name="20% - Accent1 4 6 3" xfId="10802" xr:uid="{87AE9B71-3489-4EE3-9089-9A34085D3BA7}"/>
    <cellStyle name="20% - Accent1 4 7" xfId="4512" xr:uid="{00000000-0005-0000-0000-00008D000000}"/>
    <cellStyle name="20% - Accent1 4 7 2" xfId="12954" xr:uid="{11F7FEA4-DB4A-4C64-9315-645644E9A982}"/>
    <cellStyle name="20% - Accent1 4 8" xfId="8736" xr:uid="{B50E262B-3886-454E-AC47-FDC1E72BA4E8}"/>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95574227-21AA-4D93-8215-352C259EC523}"/>
    <cellStyle name="20% - Accent1 5 2 3" xfId="11288" xr:uid="{01539DCE-A4D0-4B1A-84CA-79FA3ADF6C7D}"/>
    <cellStyle name="20% - Accent1 5 3" xfId="4919" xr:uid="{00000000-0005-0000-0000-000091000000}"/>
    <cellStyle name="20% - Accent1 5 3 2" xfId="13361" xr:uid="{D6596924-6DD1-4DA6-861F-DA010439F742}"/>
    <cellStyle name="20% - Accent1 5 4" xfId="9143" xr:uid="{19E95F18-DF35-4E29-AB18-E7F5885CA7DD}"/>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7DF9F695-7A19-4309-A85B-797850F589B4}"/>
    <cellStyle name="20% - Accent1 6 2 3" xfId="11701" xr:uid="{61ACA5B9-32F2-4268-B731-E6233C0803D2}"/>
    <cellStyle name="20% - Accent1 6 3" xfId="5332" xr:uid="{00000000-0005-0000-0000-000095000000}"/>
    <cellStyle name="20% - Accent1 6 3 2" xfId="13774" xr:uid="{729DF69A-28E1-40B9-8017-70F14D113D0E}"/>
    <cellStyle name="20% - Accent1 6 4" xfId="9556" xr:uid="{1898A56B-E0BF-4FC2-8974-554CCE297B5A}"/>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C879C289-FEB9-47E7-9656-A158353652DF}"/>
    <cellStyle name="20% - Accent1 7 2 3" xfId="12114" xr:uid="{617B5728-FCF9-4920-BF18-520D624E202D}"/>
    <cellStyle name="20% - Accent1 7 3" xfId="5745" xr:uid="{00000000-0005-0000-0000-000099000000}"/>
    <cellStyle name="20% - Accent1 7 3 2" xfId="14187" xr:uid="{0221005E-D5AD-45D8-B479-136E16B755A1}"/>
    <cellStyle name="20% - Accent1 7 4" xfId="9969" xr:uid="{354655F5-4F77-415E-BF64-94DEC714D57E}"/>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9EAFCBD0-3542-4876-A233-F639E437FCAA}"/>
    <cellStyle name="20% - Accent1 8 2 3" xfId="12527" xr:uid="{FDE67FC8-3B00-42B9-8B8D-7FB9CAAE3A97}"/>
    <cellStyle name="20% - Accent1 8 3" xfId="6158" xr:uid="{00000000-0005-0000-0000-00009D000000}"/>
    <cellStyle name="20% - Accent1 8 3 2" xfId="14600" xr:uid="{ACA7B469-D049-4E4C-8B19-254FBE5555F9}"/>
    <cellStyle name="20% - Accent1 8 4" xfId="10382" xr:uid="{359F209E-407F-4483-A195-3E9C00A2146D}"/>
    <cellStyle name="20% - Accent1 9" xfId="2264" xr:uid="{00000000-0005-0000-0000-00009E000000}"/>
    <cellStyle name="20% - Accent1 9 2" xfId="6571" xr:uid="{00000000-0005-0000-0000-00009F000000}"/>
    <cellStyle name="20% - Accent1 9 2 2" xfId="15013" xr:uid="{8009EF10-66E8-46D9-ADE4-27D3218CA450}"/>
    <cellStyle name="20% - Accent1 9 3" xfId="10795" xr:uid="{D29FF059-9B2A-4880-9765-CAB3951E77C5}"/>
    <cellStyle name="20% - Accent2" xfId="9" builtinId="34" customBuiltin="1"/>
    <cellStyle name="20% - Accent2 10" xfId="4513" xr:uid="{00000000-0005-0000-0000-0000A1000000}"/>
    <cellStyle name="20% - Accent2 10 2" xfId="12955" xr:uid="{AA9D72A3-BE29-4864-A0DF-070CB3C666C6}"/>
    <cellStyle name="20% - Accent2 11" xfId="8737" xr:uid="{F19E5597-ED8F-402B-9DE2-5BAB7D72A9A4}"/>
    <cellStyle name="20% - Accent2 2" xfId="10" xr:uid="{00000000-0005-0000-0000-0000A2000000}"/>
    <cellStyle name="20% - Accent2 2 10" xfId="8738" xr:uid="{B35156D5-2892-4938-8F96-2C2BD69F084E}"/>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A46A147B-10B5-4869-A049-62A516161E58}"/>
    <cellStyle name="20% - Accent2 2 2 2 2 2 3" xfId="11299" xr:uid="{0753CF96-6098-4AFE-B10A-E9540C25231E}"/>
    <cellStyle name="20% - Accent2 2 2 2 2 3" xfId="4930" xr:uid="{00000000-0005-0000-0000-0000A8000000}"/>
    <cellStyle name="20% - Accent2 2 2 2 2 3 2" xfId="13372" xr:uid="{BB0FF953-92DB-4667-898D-981C71B8BCF3}"/>
    <cellStyle name="20% - Accent2 2 2 2 2 4" xfId="9154" xr:uid="{D2BD8E0E-A6D5-4127-BEEB-4EFCF73403FF}"/>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FC0A091D-06A9-478F-AF6A-2D14C48FB652}"/>
    <cellStyle name="20% - Accent2 2 2 2 3 2 3" xfId="11712" xr:uid="{95EFB3D3-0ABA-4703-B93D-4993FF67D914}"/>
    <cellStyle name="20% - Accent2 2 2 2 3 3" xfId="5343" xr:uid="{00000000-0005-0000-0000-0000AC000000}"/>
    <cellStyle name="20% - Accent2 2 2 2 3 3 2" xfId="13785" xr:uid="{EE62F66E-BBE6-42BD-A935-295C165C4B1A}"/>
    <cellStyle name="20% - Accent2 2 2 2 3 4" xfId="9567" xr:uid="{279A4DF3-CB1C-4830-948F-560A83F1BD37}"/>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2D394A62-280C-423B-908B-0CD8342CCCED}"/>
    <cellStyle name="20% - Accent2 2 2 2 4 2 3" xfId="12125" xr:uid="{BF0CE465-EC0E-4792-8622-4C3F2D274460}"/>
    <cellStyle name="20% - Accent2 2 2 2 4 3" xfId="5756" xr:uid="{00000000-0005-0000-0000-0000B0000000}"/>
    <cellStyle name="20% - Accent2 2 2 2 4 3 2" xfId="14198" xr:uid="{2D2C88B9-72BF-41FE-B12F-7B54B34E88D3}"/>
    <cellStyle name="20% - Accent2 2 2 2 4 4" xfId="9980" xr:uid="{D1BDAFB3-A56A-4E00-860D-1F55BC544498}"/>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92336D84-DE2A-42E8-8323-9EBFDB3F29E9}"/>
    <cellStyle name="20% - Accent2 2 2 2 5 2 3" xfId="12538" xr:uid="{2C7FEEE2-7F13-4299-A6AB-6756771007BB}"/>
    <cellStyle name="20% - Accent2 2 2 2 5 3" xfId="6169" xr:uid="{00000000-0005-0000-0000-0000B4000000}"/>
    <cellStyle name="20% - Accent2 2 2 2 5 3 2" xfId="14611" xr:uid="{665BD80B-999D-4879-9B9D-F59E5362AD9D}"/>
    <cellStyle name="20% - Accent2 2 2 2 5 4" xfId="10393" xr:uid="{5A7BC835-30C6-450F-ADFA-FDD2D642B9FE}"/>
    <cellStyle name="20% - Accent2 2 2 2 6" xfId="2275" xr:uid="{00000000-0005-0000-0000-0000B5000000}"/>
    <cellStyle name="20% - Accent2 2 2 2 6 2" xfId="6582" xr:uid="{00000000-0005-0000-0000-0000B6000000}"/>
    <cellStyle name="20% - Accent2 2 2 2 6 2 2" xfId="15024" xr:uid="{79CDAFB7-C21E-4622-B4F7-08B2179FEB76}"/>
    <cellStyle name="20% - Accent2 2 2 2 6 3" xfId="10806" xr:uid="{5ADAD76F-3B65-4CCE-841B-F0A09E954D2C}"/>
    <cellStyle name="20% - Accent2 2 2 2 7" xfId="4516" xr:uid="{00000000-0005-0000-0000-0000B7000000}"/>
    <cellStyle name="20% - Accent2 2 2 2 7 2" xfId="12958" xr:uid="{C2DA83CC-018D-48E1-96F7-81D2599DE464}"/>
    <cellStyle name="20% - Accent2 2 2 2 8" xfId="8740" xr:uid="{BDB174CF-B3C6-4F09-AEFB-CEB55CECDB48}"/>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7A743EB4-71B2-4BDB-AFA8-847A43431FEC}"/>
    <cellStyle name="20% - Accent2 2 2 3 2 3" xfId="11298" xr:uid="{1EDC82CF-BFAF-490D-A6C5-883A2A49ADED}"/>
    <cellStyle name="20% - Accent2 2 2 3 3" xfId="4929" xr:uid="{00000000-0005-0000-0000-0000BB000000}"/>
    <cellStyle name="20% - Accent2 2 2 3 3 2" xfId="13371" xr:uid="{112ADC56-C2D0-4A4C-85AE-A11EBB1A613C}"/>
    <cellStyle name="20% - Accent2 2 2 3 4" xfId="9153" xr:uid="{68ADB9CE-656F-4D22-97D9-B04E6E3B25F6}"/>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6216D9F5-ADE8-4631-AFC2-413CF9BBB264}"/>
    <cellStyle name="20% - Accent2 2 2 4 2 3" xfId="11711" xr:uid="{6CC3DD06-0916-4DF6-A0EF-9946D3DF5589}"/>
    <cellStyle name="20% - Accent2 2 2 4 3" xfId="5342" xr:uid="{00000000-0005-0000-0000-0000BF000000}"/>
    <cellStyle name="20% - Accent2 2 2 4 3 2" xfId="13784" xr:uid="{0B24F2CB-A1A6-49F9-89A2-BC3DF7F02CCB}"/>
    <cellStyle name="20% - Accent2 2 2 4 4" xfId="9566" xr:uid="{B60288C8-9022-4588-ADAC-700FAC345EEB}"/>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447B591B-14F2-4243-95B7-2727F30F6240}"/>
    <cellStyle name="20% - Accent2 2 2 5 2 3" xfId="12124" xr:uid="{4CCDF258-D000-491C-911E-E94C2F58E04E}"/>
    <cellStyle name="20% - Accent2 2 2 5 3" xfId="5755" xr:uid="{00000000-0005-0000-0000-0000C3000000}"/>
    <cellStyle name="20% - Accent2 2 2 5 3 2" xfId="14197" xr:uid="{965A4FFF-CBA6-4652-A9F7-9B611565A662}"/>
    <cellStyle name="20% - Accent2 2 2 5 4" xfId="9979" xr:uid="{B976D5BA-7E32-4555-908B-D9F1791A51EF}"/>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5398B523-348F-4498-8698-28C68D8CEEA4}"/>
    <cellStyle name="20% - Accent2 2 2 6 2 3" xfId="12537" xr:uid="{DB0A0A68-6531-4096-9198-EA2D3334C1BB}"/>
    <cellStyle name="20% - Accent2 2 2 6 3" xfId="6168" xr:uid="{00000000-0005-0000-0000-0000C7000000}"/>
    <cellStyle name="20% - Accent2 2 2 6 3 2" xfId="14610" xr:uid="{157C0A3E-2297-48CA-B93B-78ED6DD2E4DA}"/>
    <cellStyle name="20% - Accent2 2 2 6 4" xfId="10392" xr:uid="{A6EDF923-80D6-4CCB-8F52-3A4E0204E567}"/>
    <cellStyle name="20% - Accent2 2 2 7" xfId="2274" xr:uid="{00000000-0005-0000-0000-0000C8000000}"/>
    <cellStyle name="20% - Accent2 2 2 7 2" xfId="6581" xr:uid="{00000000-0005-0000-0000-0000C9000000}"/>
    <cellStyle name="20% - Accent2 2 2 7 2 2" xfId="15023" xr:uid="{EFE1CDC1-E358-4D3D-810F-96FE51BF137C}"/>
    <cellStyle name="20% - Accent2 2 2 7 3" xfId="10805" xr:uid="{277750DE-F37E-46BA-8274-568423AAA240}"/>
    <cellStyle name="20% - Accent2 2 2 8" xfId="4515" xr:uid="{00000000-0005-0000-0000-0000CA000000}"/>
    <cellStyle name="20% - Accent2 2 2 8 2" xfId="12957" xr:uid="{AC30F272-A165-4AC2-9B60-E919EE148466}"/>
    <cellStyle name="20% - Accent2 2 2 9" xfId="8739" xr:uid="{2AC4FBBE-B635-46AB-B35A-4D8527EF2EE1}"/>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DA938BC0-5D9C-4B53-B2FF-CB708AF29957}"/>
    <cellStyle name="20% - Accent2 2 3 2 2 3" xfId="11300" xr:uid="{617EC211-855D-4468-A8DB-658B8D4D2913}"/>
    <cellStyle name="20% - Accent2 2 3 2 3" xfId="4931" xr:uid="{00000000-0005-0000-0000-0000CF000000}"/>
    <cellStyle name="20% - Accent2 2 3 2 3 2" xfId="13373" xr:uid="{E3936CFF-9C5A-4EDC-A98E-220DEBF1A187}"/>
    <cellStyle name="20% - Accent2 2 3 2 4" xfId="9155" xr:uid="{7F584ED6-4BD4-4507-BE71-9DBC4F1D6B58}"/>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7205E12E-78A8-4059-BD61-504786D9C9C0}"/>
    <cellStyle name="20% - Accent2 2 3 3 2 3" xfId="11713" xr:uid="{54C7F6A1-98F3-41C4-98BD-ED5CE93DC85C}"/>
    <cellStyle name="20% - Accent2 2 3 3 3" xfId="5344" xr:uid="{00000000-0005-0000-0000-0000D3000000}"/>
    <cellStyle name="20% - Accent2 2 3 3 3 2" xfId="13786" xr:uid="{6D0732ED-0661-4534-9B77-2A4BD58980B3}"/>
    <cellStyle name="20% - Accent2 2 3 3 4" xfId="9568" xr:uid="{EBCAD546-7FBF-451F-9FCD-3C524A5C0D58}"/>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62004BF1-1394-49AF-9527-CBFEC40CFBB5}"/>
    <cellStyle name="20% - Accent2 2 3 4 2 3" xfId="12126" xr:uid="{C7E593B2-AF99-49D9-8739-3710942E1067}"/>
    <cellStyle name="20% - Accent2 2 3 4 3" xfId="5757" xr:uid="{00000000-0005-0000-0000-0000D7000000}"/>
    <cellStyle name="20% - Accent2 2 3 4 3 2" xfId="14199" xr:uid="{E15E0DE2-DBC3-4478-A605-379DD0C42E93}"/>
    <cellStyle name="20% - Accent2 2 3 4 4" xfId="9981" xr:uid="{AEA2CAD8-C61E-4392-80A0-AA152D6A57B3}"/>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024F2219-7D87-4BFD-A8DD-BC3B209FEDB7}"/>
    <cellStyle name="20% - Accent2 2 3 5 2 3" xfId="12539" xr:uid="{9C007BA8-F0D0-432E-A69E-17EC381F8535}"/>
    <cellStyle name="20% - Accent2 2 3 5 3" xfId="6170" xr:uid="{00000000-0005-0000-0000-0000DB000000}"/>
    <cellStyle name="20% - Accent2 2 3 5 3 2" xfId="14612" xr:uid="{E07BB72F-4816-4F27-8F59-B3C9A6A89316}"/>
    <cellStyle name="20% - Accent2 2 3 5 4" xfId="10394" xr:uid="{088AB6DF-3E89-4D16-AD74-69EC5C0803E4}"/>
    <cellStyle name="20% - Accent2 2 3 6" xfId="2276" xr:uid="{00000000-0005-0000-0000-0000DC000000}"/>
    <cellStyle name="20% - Accent2 2 3 6 2" xfId="6583" xr:uid="{00000000-0005-0000-0000-0000DD000000}"/>
    <cellStyle name="20% - Accent2 2 3 6 2 2" xfId="15025" xr:uid="{B0BAAD43-FFD9-4C91-86D8-9834FB06CFCD}"/>
    <cellStyle name="20% - Accent2 2 3 6 3" xfId="10807" xr:uid="{D1758A03-1BDD-4B20-BB2C-433F1E6EC7AA}"/>
    <cellStyle name="20% - Accent2 2 3 7" xfId="4517" xr:uid="{00000000-0005-0000-0000-0000DE000000}"/>
    <cellStyle name="20% - Accent2 2 3 7 2" xfId="12959" xr:uid="{017ABFE8-2306-4843-8032-2BF31022CABA}"/>
    <cellStyle name="20% - Accent2 2 3 8" xfId="8741" xr:uid="{40CA5E6E-E94E-4401-9333-E8970BA9F2FD}"/>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2E74B28C-10B4-4A64-BCDF-0006422AEF64}"/>
    <cellStyle name="20% - Accent2 2 4 2 3" xfId="11297" xr:uid="{82A3D672-CE93-45E0-B969-9FDE7E598DB7}"/>
    <cellStyle name="20% - Accent2 2 4 3" xfId="4928" xr:uid="{00000000-0005-0000-0000-0000E2000000}"/>
    <cellStyle name="20% - Accent2 2 4 3 2" xfId="13370" xr:uid="{D664046C-91CF-48C2-81C9-339A03FD4149}"/>
    <cellStyle name="20% - Accent2 2 4 4" xfId="9152" xr:uid="{46B5D3D3-0580-47E8-BB43-1C85AC30826E}"/>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9CEC7B64-23F0-42D2-B4EF-17E8F326872D}"/>
    <cellStyle name="20% - Accent2 2 5 2 3" xfId="11710" xr:uid="{5485F3AE-B00B-4B63-A91B-FA42546D8719}"/>
    <cellStyle name="20% - Accent2 2 5 3" xfId="5341" xr:uid="{00000000-0005-0000-0000-0000E6000000}"/>
    <cellStyle name="20% - Accent2 2 5 3 2" xfId="13783" xr:uid="{B2F60D39-1E99-4587-87D9-E1F0F60E7219}"/>
    <cellStyle name="20% - Accent2 2 5 4" xfId="9565" xr:uid="{14CE3F51-8493-484C-BC4A-2B946150836B}"/>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CD164F1C-33F5-4209-A0C8-F44C54D05E99}"/>
    <cellStyle name="20% - Accent2 2 6 2 3" xfId="12123" xr:uid="{5FEFE2E3-9FB1-4C34-B5C8-E24E5C5521DB}"/>
    <cellStyle name="20% - Accent2 2 6 3" xfId="5754" xr:uid="{00000000-0005-0000-0000-0000EA000000}"/>
    <cellStyle name="20% - Accent2 2 6 3 2" xfId="14196" xr:uid="{2B4C6C18-B235-4C21-80FF-CBBA0F8BE3BE}"/>
    <cellStyle name="20% - Accent2 2 6 4" xfId="9978" xr:uid="{6083A63A-B0A7-4072-A5EF-225BBC34357D}"/>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1CD27E03-83CF-4C52-94A4-BEE180C654F9}"/>
    <cellStyle name="20% - Accent2 2 7 2 3" xfId="12536" xr:uid="{9E9DD99B-526D-4574-8F1E-5230506F4D9E}"/>
    <cellStyle name="20% - Accent2 2 7 3" xfId="6167" xr:uid="{00000000-0005-0000-0000-0000EE000000}"/>
    <cellStyle name="20% - Accent2 2 7 3 2" xfId="14609" xr:uid="{5C364FAD-560D-4BB6-A74D-408088AB6ABC}"/>
    <cellStyle name="20% - Accent2 2 7 4" xfId="10391" xr:uid="{30EDF66F-1C9F-4471-94F9-62B6B41F312B}"/>
    <cellStyle name="20% - Accent2 2 8" xfId="2273" xr:uid="{00000000-0005-0000-0000-0000EF000000}"/>
    <cellStyle name="20% - Accent2 2 8 2" xfId="6580" xr:uid="{00000000-0005-0000-0000-0000F0000000}"/>
    <cellStyle name="20% - Accent2 2 8 2 2" xfId="15022" xr:uid="{2AA11D00-D9F3-4BD1-A2A6-12573E4362DA}"/>
    <cellStyle name="20% - Accent2 2 8 3" xfId="10804" xr:uid="{75E8B17E-C7D1-4C37-97E8-2BB47100C882}"/>
    <cellStyle name="20% - Accent2 2 9" xfId="4514" xr:uid="{00000000-0005-0000-0000-0000F1000000}"/>
    <cellStyle name="20% - Accent2 2 9 2" xfId="12956" xr:uid="{B9081A70-928B-480B-A6C5-48F1FFFD2703}"/>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31DE400D-EBC6-4B93-90AB-A09AE7E692FD}"/>
    <cellStyle name="20% - Accent2 3 2 2 2 3" xfId="11302" xr:uid="{3FA4A04F-B090-4DDE-8BB0-B441103EAC40}"/>
    <cellStyle name="20% - Accent2 3 2 2 3" xfId="4933" xr:uid="{00000000-0005-0000-0000-0000F7000000}"/>
    <cellStyle name="20% - Accent2 3 2 2 3 2" xfId="13375" xr:uid="{7BB2DAE0-06B8-474C-8DFC-3DC465F96622}"/>
    <cellStyle name="20% - Accent2 3 2 2 4" xfId="9157" xr:uid="{D66FC88E-A096-4642-9508-5A59F1696F7B}"/>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453080A5-E7FA-4E8B-8EB1-275412D34D19}"/>
    <cellStyle name="20% - Accent2 3 2 3 2 3" xfId="11715" xr:uid="{62906800-056D-4014-89F2-148EAA91F2A0}"/>
    <cellStyle name="20% - Accent2 3 2 3 3" xfId="5346" xr:uid="{00000000-0005-0000-0000-0000FB000000}"/>
    <cellStyle name="20% - Accent2 3 2 3 3 2" xfId="13788" xr:uid="{74C407CC-22E7-4D6D-863E-0F7207922C03}"/>
    <cellStyle name="20% - Accent2 3 2 3 4" xfId="9570" xr:uid="{75470D1E-0AE0-4880-B30B-674C18740C0A}"/>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4EEEF4F7-57FE-42B9-9EC2-4D2D83858010}"/>
    <cellStyle name="20% - Accent2 3 2 4 2 3" xfId="12128" xr:uid="{3804E870-ADE2-47E2-AAB3-8E77E6504243}"/>
    <cellStyle name="20% - Accent2 3 2 4 3" xfId="5759" xr:uid="{00000000-0005-0000-0000-0000FF000000}"/>
    <cellStyle name="20% - Accent2 3 2 4 3 2" xfId="14201" xr:uid="{9C131085-F470-4913-B378-F691820D7E71}"/>
    <cellStyle name="20% - Accent2 3 2 4 4" xfId="9983" xr:uid="{4F309E7F-E22A-4D8C-8F92-DC22026CAF37}"/>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C02708FB-1181-451F-95A5-D3E67BC311F5}"/>
    <cellStyle name="20% - Accent2 3 2 5 2 3" xfId="12541" xr:uid="{00D38153-7338-4352-9CF5-7C1064A96CE0}"/>
    <cellStyle name="20% - Accent2 3 2 5 3" xfId="6172" xr:uid="{00000000-0005-0000-0000-000003010000}"/>
    <cellStyle name="20% - Accent2 3 2 5 3 2" xfId="14614" xr:uid="{5521CE32-F24C-4714-AF06-224968F26E19}"/>
    <cellStyle name="20% - Accent2 3 2 5 4" xfId="10396" xr:uid="{D4C7815E-4B17-43D9-886E-851A4BDFFC39}"/>
    <cellStyle name="20% - Accent2 3 2 6" xfId="2278" xr:uid="{00000000-0005-0000-0000-000004010000}"/>
    <cellStyle name="20% - Accent2 3 2 6 2" xfId="6585" xr:uid="{00000000-0005-0000-0000-000005010000}"/>
    <cellStyle name="20% - Accent2 3 2 6 2 2" xfId="15027" xr:uid="{909BDBE1-456C-4322-A952-58D3DA5FDD82}"/>
    <cellStyle name="20% - Accent2 3 2 6 3" xfId="10809" xr:uid="{9A53DC39-EE05-4FED-A856-A49AB598313B}"/>
    <cellStyle name="20% - Accent2 3 2 7" xfId="4519" xr:uid="{00000000-0005-0000-0000-000006010000}"/>
    <cellStyle name="20% - Accent2 3 2 7 2" xfId="12961" xr:uid="{FE753B02-5D6C-4472-A38E-ADE4F826E567}"/>
    <cellStyle name="20% - Accent2 3 2 8" xfId="8743" xr:uid="{3317C1EC-6F5B-4A6A-9440-E9B6C63F8789}"/>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1A32D8BD-8DCB-4594-8354-A2B1178A31DF}"/>
    <cellStyle name="20% - Accent2 3 3 2 3" xfId="11301" xr:uid="{4FA3ADF3-6590-4303-BA0C-D16BEAFAEA98}"/>
    <cellStyle name="20% - Accent2 3 3 3" xfId="4932" xr:uid="{00000000-0005-0000-0000-00000A010000}"/>
    <cellStyle name="20% - Accent2 3 3 3 2" xfId="13374" xr:uid="{1D63A87E-27DC-4B12-9C25-8A2DCFDB33C6}"/>
    <cellStyle name="20% - Accent2 3 3 4" xfId="9156" xr:uid="{48FD6586-FB24-48B8-8E54-7C384F1C9D08}"/>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B7797ED4-161A-498F-9233-8B5C46295129}"/>
    <cellStyle name="20% - Accent2 3 4 2 3" xfId="11714" xr:uid="{72352645-7D78-41F1-829A-9BACEB7656A6}"/>
    <cellStyle name="20% - Accent2 3 4 3" xfId="5345" xr:uid="{00000000-0005-0000-0000-00000E010000}"/>
    <cellStyle name="20% - Accent2 3 4 3 2" xfId="13787" xr:uid="{0F4A3A56-21FD-498B-A036-3CEAD162E880}"/>
    <cellStyle name="20% - Accent2 3 4 4" xfId="9569" xr:uid="{E8E0B668-CE19-420F-A283-3213FA480C4F}"/>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A3527D1D-03BE-4CC6-A02D-8D394CAE95A0}"/>
    <cellStyle name="20% - Accent2 3 5 2 3" xfId="12127" xr:uid="{FAD399E9-4E6C-49AB-AE9F-99E4046E0F8C}"/>
    <cellStyle name="20% - Accent2 3 5 3" xfId="5758" xr:uid="{00000000-0005-0000-0000-000012010000}"/>
    <cellStyle name="20% - Accent2 3 5 3 2" xfId="14200" xr:uid="{2739EF27-82BA-46EC-93C6-08AD79628BE7}"/>
    <cellStyle name="20% - Accent2 3 5 4" xfId="9982" xr:uid="{3374CB70-1977-42A9-8B10-77605F21E113}"/>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4789EB32-7651-45BF-AB6F-1A78FCAB59F6}"/>
    <cellStyle name="20% - Accent2 3 6 2 3" xfId="12540" xr:uid="{3B054171-6F39-4942-ACDE-6AE5990827D7}"/>
    <cellStyle name="20% - Accent2 3 6 3" xfId="6171" xr:uid="{00000000-0005-0000-0000-000016010000}"/>
    <cellStyle name="20% - Accent2 3 6 3 2" xfId="14613" xr:uid="{2D6DFBBA-86DB-4E8A-AE22-1AFA3675EA83}"/>
    <cellStyle name="20% - Accent2 3 6 4" xfId="10395" xr:uid="{DF595449-B56E-4703-84AE-13A3367CF9B2}"/>
    <cellStyle name="20% - Accent2 3 7" xfId="2277" xr:uid="{00000000-0005-0000-0000-000017010000}"/>
    <cellStyle name="20% - Accent2 3 7 2" xfId="6584" xr:uid="{00000000-0005-0000-0000-000018010000}"/>
    <cellStyle name="20% - Accent2 3 7 2 2" xfId="15026" xr:uid="{C9CDB390-F27A-40AB-B92A-7F412DD318DB}"/>
    <cellStyle name="20% - Accent2 3 7 3" xfId="10808" xr:uid="{8178961B-F5B6-4206-BA0B-C338F3509F1F}"/>
    <cellStyle name="20% - Accent2 3 8" xfId="4518" xr:uid="{00000000-0005-0000-0000-000019010000}"/>
    <cellStyle name="20% - Accent2 3 8 2" xfId="12960" xr:uid="{6A5AE124-C3F2-481F-8DCC-C6AE90CA7771}"/>
    <cellStyle name="20% - Accent2 3 9" xfId="8742" xr:uid="{38C41AAD-7A0D-451C-8EB9-9032CE48A71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DB7D2584-0CDB-4D26-B20E-D6E375140BFD}"/>
    <cellStyle name="20% - Accent2 4 2 2 3" xfId="11303" xr:uid="{4BA16A63-E723-42D0-B0EB-B59C669490A0}"/>
    <cellStyle name="20% - Accent2 4 2 3" xfId="4934" xr:uid="{00000000-0005-0000-0000-00001E010000}"/>
    <cellStyle name="20% - Accent2 4 2 3 2" xfId="13376" xr:uid="{9AD31673-865A-4360-9E7F-AE2633934DE6}"/>
    <cellStyle name="20% - Accent2 4 2 4" xfId="9158" xr:uid="{B246D21A-231B-4975-8A25-9C12AFE7FEE5}"/>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E32BB3AA-A9ED-4232-95D6-E11662499878}"/>
    <cellStyle name="20% - Accent2 4 3 2 3" xfId="11716" xr:uid="{BB486F93-DB3D-49D9-82D8-EDDBE334FAC8}"/>
    <cellStyle name="20% - Accent2 4 3 3" xfId="5347" xr:uid="{00000000-0005-0000-0000-000022010000}"/>
    <cellStyle name="20% - Accent2 4 3 3 2" xfId="13789" xr:uid="{7605A25E-4DEB-43A3-92EA-519DD96A0095}"/>
    <cellStyle name="20% - Accent2 4 3 4" xfId="9571" xr:uid="{CD0B175F-DF49-46CB-AA16-401403B86A35}"/>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54D59406-B4C4-48E0-8B61-D8B18C8F302B}"/>
    <cellStyle name="20% - Accent2 4 4 2 3" xfId="12129" xr:uid="{EE68C72A-EC9F-4136-8788-F71D16520504}"/>
    <cellStyle name="20% - Accent2 4 4 3" xfId="5760" xr:uid="{00000000-0005-0000-0000-000026010000}"/>
    <cellStyle name="20% - Accent2 4 4 3 2" xfId="14202" xr:uid="{CCA1EF8A-9F6C-4E17-BD35-C6F38273012D}"/>
    <cellStyle name="20% - Accent2 4 4 4" xfId="9984" xr:uid="{F635506C-3C66-4D41-9E29-CA49016AD781}"/>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31D9B3EE-BF67-4F17-B0C4-3A0D8CAD97B8}"/>
    <cellStyle name="20% - Accent2 4 5 2 3" xfId="12542" xr:uid="{049DF950-A6C3-406D-85C3-9257F7AA11BF}"/>
    <cellStyle name="20% - Accent2 4 5 3" xfId="6173" xr:uid="{00000000-0005-0000-0000-00002A010000}"/>
    <cellStyle name="20% - Accent2 4 5 3 2" xfId="14615" xr:uid="{2FED4962-122F-4B10-B839-1C872A90E7B6}"/>
    <cellStyle name="20% - Accent2 4 5 4" xfId="10397" xr:uid="{EBFEB43A-C4BD-43F5-9EFC-CF2ED578BDD0}"/>
    <cellStyle name="20% - Accent2 4 6" xfId="2279" xr:uid="{00000000-0005-0000-0000-00002B010000}"/>
    <cellStyle name="20% - Accent2 4 6 2" xfId="6586" xr:uid="{00000000-0005-0000-0000-00002C010000}"/>
    <cellStyle name="20% - Accent2 4 6 2 2" xfId="15028" xr:uid="{76A651AA-C4F6-431A-8E42-5E9B62F1C72D}"/>
    <cellStyle name="20% - Accent2 4 6 3" xfId="10810" xr:uid="{E9D09F82-C334-4752-A05B-6794C9E1177E}"/>
    <cellStyle name="20% - Accent2 4 7" xfId="4520" xr:uid="{00000000-0005-0000-0000-00002D010000}"/>
    <cellStyle name="20% - Accent2 4 7 2" xfId="12962" xr:uid="{2CC14D18-765D-46F7-99EE-A17FE309E96C}"/>
    <cellStyle name="20% - Accent2 4 8" xfId="8744" xr:uid="{ACEAAB6F-A519-4B77-9423-423A0ADF0490}"/>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0019DD87-10F4-43B4-8D30-98B3438FCF2C}"/>
    <cellStyle name="20% - Accent2 5 2 3" xfId="11296" xr:uid="{5FCBDFF3-6071-435F-9D49-C1C09CC5F744}"/>
    <cellStyle name="20% - Accent2 5 3" xfId="4927" xr:uid="{00000000-0005-0000-0000-000031010000}"/>
    <cellStyle name="20% - Accent2 5 3 2" xfId="13369" xr:uid="{574AE90D-79C1-4430-A9AA-E1B8259255B9}"/>
    <cellStyle name="20% - Accent2 5 4" xfId="9151" xr:uid="{3288A666-DC9A-49D5-AC20-544E85ED7BC7}"/>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0BEEB1DE-BF8A-440A-B64A-0E40F231604E}"/>
    <cellStyle name="20% - Accent2 6 2 3" xfId="11709" xr:uid="{7E2B382C-9515-4B4E-916B-C82975A979AD}"/>
    <cellStyle name="20% - Accent2 6 3" xfId="5340" xr:uid="{00000000-0005-0000-0000-000035010000}"/>
    <cellStyle name="20% - Accent2 6 3 2" xfId="13782" xr:uid="{40EC095B-91A3-41B9-AE09-610D7B2A780D}"/>
    <cellStyle name="20% - Accent2 6 4" xfId="9564" xr:uid="{588135B9-7F3F-4476-8A2A-06456198C04D}"/>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881943FA-9C89-4C31-A71F-1ACE94A63B6D}"/>
    <cellStyle name="20% - Accent2 7 2 3" xfId="12122" xr:uid="{9FD99671-9DA9-4CC0-8972-A4335476E61B}"/>
    <cellStyle name="20% - Accent2 7 3" xfId="5753" xr:uid="{00000000-0005-0000-0000-000039010000}"/>
    <cellStyle name="20% - Accent2 7 3 2" xfId="14195" xr:uid="{4268EA82-1A07-4E68-98AC-405EAA755E26}"/>
    <cellStyle name="20% - Accent2 7 4" xfId="9977" xr:uid="{F7AAA38C-1B77-4EB1-9A22-FAD2BFD2A45A}"/>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84F32507-FC2B-4BE1-A6F0-8952B6ED5542}"/>
    <cellStyle name="20% - Accent2 8 2 3" xfId="12535" xr:uid="{59F7D532-DA78-474F-8401-E2BA88F7E0EF}"/>
    <cellStyle name="20% - Accent2 8 3" xfId="6166" xr:uid="{00000000-0005-0000-0000-00003D010000}"/>
    <cellStyle name="20% - Accent2 8 3 2" xfId="14608" xr:uid="{8EFFBF9D-5EA4-472D-BBCE-B903DFBAE6DB}"/>
    <cellStyle name="20% - Accent2 8 4" xfId="10390" xr:uid="{37F80F6C-3F49-49F3-915E-6927270A6BC1}"/>
    <cellStyle name="20% - Accent2 9" xfId="2272" xr:uid="{00000000-0005-0000-0000-00003E010000}"/>
    <cellStyle name="20% - Accent2 9 2" xfId="6579" xr:uid="{00000000-0005-0000-0000-00003F010000}"/>
    <cellStyle name="20% - Accent2 9 2 2" xfId="15021" xr:uid="{647422CD-8613-4F11-B38D-2C088ADDF74A}"/>
    <cellStyle name="20% - Accent2 9 3" xfId="10803" xr:uid="{F99F4785-2A70-4FB2-B913-BE5925E743EF}"/>
    <cellStyle name="20% - Accent3" xfId="17" builtinId="38" customBuiltin="1"/>
    <cellStyle name="20% - Accent3 10" xfId="4521" xr:uid="{00000000-0005-0000-0000-000041010000}"/>
    <cellStyle name="20% - Accent3 10 2" xfId="12963" xr:uid="{86E29BAA-2393-482A-8CD6-95A3F14D7BAE}"/>
    <cellStyle name="20% - Accent3 11" xfId="8745" xr:uid="{598CFF8F-3A5C-47DB-B4F1-ADFF127163A6}"/>
    <cellStyle name="20% - Accent3 2" xfId="18" xr:uid="{00000000-0005-0000-0000-000042010000}"/>
    <cellStyle name="20% - Accent3 2 10" xfId="8746" xr:uid="{6261D4C6-B9B7-4F83-A8A3-DB1B6064CFD2}"/>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08AF99A7-4FC6-45AD-9CA9-CEEADDBF48FF}"/>
    <cellStyle name="20% - Accent3 2 2 2 2 2 3" xfId="11307" xr:uid="{FB6A604D-FDA0-4671-90AF-3929D45667DE}"/>
    <cellStyle name="20% - Accent3 2 2 2 2 3" xfId="4938" xr:uid="{00000000-0005-0000-0000-000048010000}"/>
    <cellStyle name="20% - Accent3 2 2 2 2 3 2" xfId="13380" xr:uid="{674FEDC6-BE4C-4A5B-8D7A-6BCD9E7A8612}"/>
    <cellStyle name="20% - Accent3 2 2 2 2 4" xfId="9162" xr:uid="{575CAD74-3A68-4EBF-8E63-36B9440E5595}"/>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ED3F2E2A-128B-44C5-BC3A-9B29DC170ACE}"/>
    <cellStyle name="20% - Accent3 2 2 2 3 2 3" xfId="11720" xr:uid="{15F6F414-42F8-4E7C-9FDB-C7C6BFAE7348}"/>
    <cellStyle name="20% - Accent3 2 2 2 3 3" xfId="5351" xr:uid="{00000000-0005-0000-0000-00004C010000}"/>
    <cellStyle name="20% - Accent3 2 2 2 3 3 2" xfId="13793" xr:uid="{536BD3B9-FFC8-494D-8A86-71B185D58B61}"/>
    <cellStyle name="20% - Accent3 2 2 2 3 4" xfId="9575" xr:uid="{C9610296-E028-4374-9F3D-FE90A2CF7A52}"/>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6F170ED2-854D-406A-B555-DA8638E0060A}"/>
    <cellStyle name="20% - Accent3 2 2 2 4 2 3" xfId="12133" xr:uid="{BCFB9AAA-27A7-4EC4-82BA-C53F828E4EB6}"/>
    <cellStyle name="20% - Accent3 2 2 2 4 3" xfId="5764" xr:uid="{00000000-0005-0000-0000-000050010000}"/>
    <cellStyle name="20% - Accent3 2 2 2 4 3 2" xfId="14206" xr:uid="{62C438B9-557F-4484-A03A-0126D63E462A}"/>
    <cellStyle name="20% - Accent3 2 2 2 4 4" xfId="9988" xr:uid="{90CF5099-1486-44A0-A5C7-71691AD8E3E9}"/>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4D451F33-06F0-45D2-87D1-0561B0D8585E}"/>
    <cellStyle name="20% - Accent3 2 2 2 5 2 3" xfId="12546" xr:uid="{D99CCD3F-2520-4C22-AF6F-E64075AF10E3}"/>
    <cellStyle name="20% - Accent3 2 2 2 5 3" xfId="6177" xr:uid="{00000000-0005-0000-0000-000054010000}"/>
    <cellStyle name="20% - Accent3 2 2 2 5 3 2" xfId="14619" xr:uid="{14CFA5C1-7772-4FD6-ADF5-0F2ADAE3180A}"/>
    <cellStyle name="20% - Accent3 2 2 2 5 4" xfId="10401" xr:uid="{93F015C3-B469-4EA1-A782-9B94165FB610}"/>
    <cellStyle name="20% - Accent3 2 2 2 6" xfId="2283" xr:uid="{00000000-0005-0000-0000-000055010000}"/>
    <cellStyle name="20% - Accent3 2 2 2 6 2" xfId="6590" xr:uid="{00000000-0005-0000-0000-000056010000}"/>
    <cellStyle name="20% - Accent3 2 2 2 6 2 2" xfId="15032" xr:uid="{88B7A76C-4BBC-443E-A236-3821AEAD1E39}"/>
    <cellStyle name="20% - Accent3 2 2 2 6 3" xfId="10814" xr:uid="{C7E8E408-F981-4D55-92B2-76D62B2038C4}"/>
    <cellStyle name="20% - Accent3 2 2 2 7" xfId="4524" xr:uid="{00000000-0005-0000-0000-000057010000}"/>
    <cellStyle name="20% - Accent3 2 2 2 7 2" xfId="12966" xr:uid="{4FA23029-4BF8-460D-BF8F-4CB8CC34D11D}"/>
    <cellStyle name="20% - Accent3 2 2 2 8" xfId="8748" xr:uid="{573E2ACF-8001-4ADD-BFC5-32D2C4E2612D}"/>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E56E2E3D-4A97-4D26-864D-29FEF18C2315}"/>
    <cellStyle name="20% - Accent3 2 2 3 2 3" xfId="11306" xr:uid="{7B8B9B83-D2F3-4FEE-ACEA-37B70E2A0C97}"/>
    <cellStyle name="20% - Accent3 2 2 3 3" xfId="4937" xr:uid="{00000000-0005-0000-0000-00005B010000}"/>
    <cellStyle name="20% - Accent3 2 2 3 3 2" xfId="13379" xr:uid="{81FCEC33-F160-4493-853D-806F0C050DEC}"/>
    <cellStyle name="20% - Accent3 2 2 3 4" xfId="9161" xr:uid="{71CA2D1F-02C9-4298-8403-F54BBFD7A15F}"/>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FBE42EB9-9349-4D55-A789-D7A30E552062}"/>
    <cellStyle name="20% - Accent3 2 2 4 2 3" xfId="11719" xr:uid="{57B99A54-CB81-4B21-99E6-E164E6DC1844}"/>
    <cellStyle name="20% - Accent3 2 2 4 3" xfId="5350" xr:uid="{00000000-0005-0000-0000-00005F010000}"/>
    <cellStyle name="20% - Accent3 2 2 4 3 2" xfId="13792" xr:uid="{E8B72BC9-D227-4D29-B1A1-746E98E6271C}"/>
    <cellStyle name="20% - Accent3 2 2 4 4" xfId="9574" xr:uid="{E90B6553-52F2-45DD-8F05-3D98707FE24E}"/>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A1652C79-54CE-427B-A968-6BEF839E31B0}"/>
    <cellStyle name="20% - Accent3 2 2 5 2 3" xfId="12132" xr:uid="{5AE40614-558C-4480-827B-EBB608CF8B3B}"/>
    <cellStyle name="20% - Accent3 2 2 5 3" xfId="5763" xr:uid="{00000000-0005-0000-0000-000063010000}"/>
    <cellStyle name="20% - Accent3 2 2 5 3 2" xfId="14205" xr:uid="{7C5BDA82-9FEE-4ECE-9974-3722473AC04F}"/>
    <cellStyle name="20% - Accent3 2 2 5 4" xfId="9987" xr:uid="{1209E36E-E3DB-40C5-897C-37B964728736}"/>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4901DA69-0297-4B43-A091-0E8D792595F3}"/>
    <cellStyle name="20% - Accent3 2 2 6 2 3" xfId="12545" xr:uid="{D53FA9F3-8DDB-4BA1-B552-3F1E78206658}"/>
    <cellStyle name="20% - Accent3 2 2 6 3" xfId="6176" xr:uid="{00000000-0005-0000-0000-000067010000}"/>
    <cellStyle name="20% - Accent3 2 2 6 3 2" xfId="14618" xr:uid="{F640A3F4-A0E7-485F-85D9-22C7DC175DEC}"/>
    <cellStyle name="20% - Accent3 2 2 6 4" xfId="10400" xr:uid="{D5ADDA0E-AEB3-4429-877A-7DF171AF9918}"/>
    <cellStyle name="20% - Accent3 2 2 7" xfId="2282" xr:uid="{00000000-0005-0000-0000-000068010000}"/>
    <cellStyle name="20% - Accent3 2 2 7 2" xfId="6589" xr:uid="{00000000-0005-0000-0000-000069010000}"/>
    <cellStyle name="20% - Accent3 2 2 7 2 2" xfId="15031" xr:uid="{C0F78DAE-41CC-4FB9-80BE-22283B51EDB5}"/>
    <cellStyle name="20% - Accent3 2 2 7 3" xfId="10813" xr:uid="{ECAE6669-849C-403D-8BB1-79CA23EB4A82}"/>
    <cellStyle name="20% - Accent3 2 2 8" xfId="4523" xr:uid="{00000000-0005-0000-0000-00006A010000}"/>
    <cellStyle name="20% - Accent3 2 2 8 2" xfId="12965" xr:uid="{150722D4-37C4-4344-8F70-A36EEAF2FAEB}"/>
    <cellStyle name="20% - Accent3 2 2 9" xfId="8747" xr:uid="{0094B932-9336-40EC-843A-BF41FFCE9185}"/>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CC7559EC-9016-45D4-9FFA-E0C654F8A08E}"/>
    <cellStyle name="20% - Accent3 2 3 2 2 3" xfId="11308" xr:uid="{35A182F3-4BE9-4853-BF88-FA4AC4608CAC}"/>
    <cellStyle name="20% - Accent3 2 3 2 3" xfId="4939" xr:uid="{00000000-0005-0000-0000-00006F010000}"/>
    <cellStyle name="20% - Accent3 2 3 2 3 2" xfId="13381" xr:uid="{7FDFEA66-C351-43FF-BF2E-B52ACC8D0C84}"/>
    <cellStyle name="20% - Accent3 2 3 2 4" xfId="9163" xr:uid="{18033CA4-6382-408F-BEB6-A59C9BB244D7}"/>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81AA8BAE-C5E0-48CB-B3C4-EBE3C8129BB4}"/>
    <cellStyle name="20% - Accent3 2 3 3 2 3" xfId="11721" xr:uid="{35E09579-833F-4AB4-AC28-C19A37E329C7}"/>
    <cellStyle name="20% - Accent3 2 3 3 3" xfId="5352" xr:uid="{00000000-0005-0000-0000-000073010000}"/>
    <cellStyle name="20% - Accent3 2 3 3 3 2" xfId="13794" xr:uid="{901A903C-912B-47C2-BF4C-F6AFA51860BD}"/>
    <cellStyle name="20% - Accent3 2 3 3 4" xfId="9576" xr:uid="{4971A1B3-97CD-4576-9DEA-53400526A5C2}"/>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A7EA9E3F-B65D-4187-91D8-F4052FF7F518}"/>
    <cellStyle name="20% - Accent3 2 3 4 2 3" xfId="12134" xr:uid="{A52F5ABD-E3DB-4D17-B94C-0A98D9519CBA}"/>
    <cellStyle name="20% - Accent3 2 3 4 3" xfId="5765" xr:uid="{00000000-0005-0000-0000-000077010000}"/>
    <cellStyle name="20% - Accent3 2 3 4 3 2" xfId="14207" xr:uid="{A0BEF331-DC5D-465E-9563-7EFA24831F3B}"/>
    <cellStyle name="20% - Accent3 2 3 4 4" xfId="9989" xr:uid="{E006A42B-C096-457D-8C70-FB9D5530128A}"/>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B39CBE69-FBE6-45DC-9B7C-40EEEF32DABF}"/>
    <cellStyle name="20% - Accent3 2 3 5 2 3" xfId="12547" xr:uid="{AEC437D6-0528-4B34-947C-AD45E7C1287A}"/>
    <cellStyle name="20% - Accent3 2 3 5 3" xfId="6178" xr:uid="{00000000-0005-0000-0000-00007B010000}"/>
    <cellStyle name="20% - Accent3 2 3 5 3 2" xfId="14620" xr:uid="{202F12E6-2276-4CFB-A9F2-025A2D02D342}"/>
    <cellStyle name="20% - Accent3 2 3 5 4" xfId="10402" xr:uid="{67D53982-F9A9-4A22-8D0F-3A7E2A2FD582}"/>
    <cellStyle name="20% - Accent3 2 3 6" xfId="2284" xr:uid="{00000000-0005-0000-0000-00007C010000}"/>
    <cellStyle name="20% - Accent3 2 3 6 2" xfId="6591" xr:uid="{00000000-0005-0000-0000-00007D010000}"/>
    <cellStyle name="20% - Accent3 2 3 6 2 2" xfId="15033" xr:uid="{528D404B-E044-4F2B-AE6D-461E578B213B}"/>
    <cellStyle name="20% - Accent3 2 3 6 3" xfId="10815" xr:uid="{5851814F-E6A8-4D9C-AB91-E351BB410EAA}"/>
    <cellStyle name="20% - Accent3 2 3 7" xfId="4525" xr:uid="{00000000-0005-0000-0000-00007E010000}"/>
    <cellStyle name="20% - Accent3 2 3 7 2" xfId="12967" xr:uid="{3F671BF7-79E9-45F5-BA3D-30342C8D4786}"/>
    <cellStyle name="20% - Accent3 2 3 8" xfId="8749" xr:uid="{8DDB77D9-2645-4649-B52C-6A7ABF8FA446}"/>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6ED8D210-0949-464A-BF0A-0BD2AA7161F4}"/>
    <cellStyle name="20% - Accent3 2 4 2 3" xfId="11305" xr:uid="{F15719A6-128D-49B8-9E49-941D44E48617}"/>
    <cellStyle name="20% - Accent3 2 4 3" xfId="4936" xr:uid="{00000000-0005-0000-0000-000082010000}"/>
    <cellStyle name="20% - Accent3 2 4 3 2" xfId="13378" xr:uid="{C25F84A5-5E2E-4980-B7E9-EF9A4A0BD6FA}"/>
    <cellStyle name="20% - Accent3 2 4 4" xfId="9160" xr:uid="{D2547648-5C13-4BA4-ABE5-0AB721BB7F11}"/>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9BBE1304-E04F-4CB1-8CF2-FD4A184C3C9B}"/>
    <cellStyle name="20% - Accent3 2 5 2 3" xfId="11718" xr:uid="{FEA6FB9A-16D0-4C38-B385-42BD5A9BEABE}"/>
    <cellStyle name="20% - Accent3 2 5 3" xfId="5349" xr:uid="{00000000-0005-0000-0000-000086010000}"/>
    <cellStyle name="20% - Accent3 2 5 3 2" xfId="13791" xr:uid="{E463C1DC-46DD-434E-AAD9-B2B06B465E13}"/>
    <cellStyle name="20% - Accent3 2 5 4" xfId="9573" xr:uid="{0FD40DCF-5055-4970-B2F1-505856293D68}"/>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7B1859E4-1B2B-4DB0-8564-3C6B23322B94}"/>
    <cellStyle name="20% - Accent3 2 6 2 3" xfId="12131" xr:uid="{9652A905-E7C2-4EC0-B256-6F97C6A9ED58}"/>
    <cellStyle name="20% - Accent3 2 6 3" xfId="5762" xr:uid="{00000000-0005-0000-0000-00008A010000}"/>
    <cellStyle name="20% - Accent3 2 6 3 2" xfId="14204" xr:uid="{84947DAF-1990-4697-8ED4-54072D733061}"/>
    <cellStyle name="20% - Accent3 2 6 4" xfId="9986" xr:uid="{E4F1FEE2-674E-47A8-90EC-C048D6C8B64E}"/>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61522F62-E2A6-47B6-A500-615E912CFC30}"/>
    <cellStyle name="20% - Accent3 2 7 2 3" xfId="12544" xr:uid="{EB766459-9CE6-4139-ACA6-97C6BA3E0BFE}"/>
    <cellStyle name="20% - Accent3 2 7 3" xfId="6175" xr:uid="{00000000-0005-0000-0000-00008E010000}"/>
    <cellStyle name="20% - Accent3 2 7 3 2" xfId="14617" xr:uid="{50B513F5-A139-4C75-AE5B-08D0C5AD18C5}"/>
    <cellStyle name="20% - Accent3 2 7 4" xfId="10399" xr:uid="{65BBEFC6-E852-483F-B68F-E0907F9F62B4}"/>
    <cellStyle name="20% - Accent3 2 8" xfId="2281" xr:uid="{00000000-0005-0000-0000-00008F010000}"/>
    <cellStyle name="20% - Accent3 2 8 2" xfId="6588" xr:uid="{00000000-0005-0000-0000-000090010000}"/>
    <cellStyle name="20% - Accent3 2 8 2 2" xfId="15030" xr:uid="{94C454A2-E401-4AC8-9CE0-E8D2534416FC}"/>
    <cellStyle name="20% - Accent3 2 8 3" xfId="10812" xr:uid="{FA5A8AFD-1848-4CD0-8E81-A746393FB4C9}"/>
    <cellStyle name="20% - Accent3 2 9" xfId="4522" xr:uid="{00000000-0005-0000-0000-000091010000}"/>
    <cellStyle name="20% - Accent3 2 9 2" xfId="12964" xr:uid="{23A63AE3-E94D-4218-AB59-3D5E877DBD42}"/>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DF79AEA4-3642-470D-A595-7547CF01C76E}"/>
    <cellStyle name="20% - Accent3 3 2 2 2 3" xfId="11310" xr:uid="{93EE5108-FACB-4DFE-8F19-EF3A18EEAA5F}"/>
    <cellStyle name="20% - Accent3 3 2 2 3" xfId="4941" xr:uid="{00000000-0005-0000-0000-000097010000}"/>
    <cellStyle name="20% - Accent3 3 2 2 3 2" xfId="13383" xr:uid="{5676E0B8-C84D-469F-8A15-B2173501C220}"/>
    <cellStyle name="20% - Accent3 3 2 2 4" xfId="9165" xr:uid="{71B3B2C8-2B38-4EE3-8119-5CF233E3A5F3}"/>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FF5635DA-7E0B-4858-B40E-4F554364B01B}"/>
    <cellStyle name="20% - Accent3 3 2 3 2 3" xfId="11723" xr:uid="{AA94E0E5-ED79-4FA5-A220-C01556D8258A}"/>
    <cellStyle name="20% - Accent3 3 2 3 3" xfId="5354" xr:uid="{00000000-0005-0000-0000-00009B010000}"/>
    <cellStyle name="20% - Accent3 3 2 3 3 2" xfId="13796" xr:uid="{00A4DED5-EC4E-4D43-87B8-643BC5785C9A}"/>
    <cellStyle name="20% - Accent3 3 2 3 4" xfId="9578" xr:uid="{2BED5907-D404-4CBC-BE69-DB06873D18CC}"/>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96D574E9-FC86-47A6-8862-2DC4F966A796}"/>
    <cellStyle name="20% - Accent3 3 2 4 2 3" xfId="12136" xr:uid="{15CA3814-306B-407F-8F2F-02A75D920DCF}"/>
    <cellStyle name="20% - Accent3 3 2 4 3" xfId="5767" xr:uid="{00000000-0005-0000-0000-00009F010000}"/>
    <cellStyle name="20% - Accent3 3 2 4 3 2" xfId="14209" xr:uid="{4C39CE57-6451-4012-9EDE-4A831F0D9746}"/>
    <cellStyle name="20% - Accent3 3 2 4 4" xfId="9991" xr:uid="{D6223B00-0A13-4AC6-A771-50A10054CF10}"/>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ACA9E17D-F03B-457C-AC1C-A25E0313606A}"/>
    <cellStyle name="20% - Accent3 3 2 5 2 3" xfId="12549" xr:uid="{4EDE1332-D315-4957-8EB7-CF095EFCF5B7}"/>
    <cellStyle name="20% - Accent3 3 2 5 3" xfId="6180" xr:uid="{00000000-0005-0000-0000-0000A3010000}"/>
    <cellStyle name="20% - Accent3 3 2 5 3 2" xfId="14622" xr:uid="{BF4ECC11-F913-4AD7-ADEE-167B49C57B24}"/>
    <cellStyle name="20% - Accent3 3 2 5 4" xfId="10404" xr:uid="{779112FF-9691-4D07-B225-BC8DEBE2507B}"/>
    <cellStyle name="20% - Accent3 3 2 6" xfId="2286" xr:uid="{00000000-0005-0000-0000-0000A4010000}"/>
    <cellStyle name="20% - Accent3 3 2 6 2" xfId="6593" xr:uid="{00000000-0005-0000-0000-0000A5010000}"/>
    <cellStyle name="20% - Accent3 3 2 6 2 2" xfId="15035" xr:uid="{669433BB-EBA9-42CF-9BBB-868AFD756236}"/>
    <cellStyle name="20% - Accent3 3 2 6 3" xfId="10817" xr:uid="{7D3C55D8-F2EB-4E9D-A6FE-7D670487A5D8}"/>
    <cellStyle name="20% - Accent3 3 2 7" xfId="4527" xr:uid="{00000000-0005-0000-0000-0000A6010000}"/>
    <cellStyle name="20% - Accent3 3 2 7 2" xfId="12969" xr:uid="{A00BADC6-9173-4995-9C8A-C86A98F5A70C}"/>
    <cellStyle name="20% - Accent3 3 2 8" xfId="8751" xr:uid="{713FBD2A-11BF-4D82-84D8-FD2CAC23D9AC}"/>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7BAD34AF-2DD8-41B0-A97A-CF627858728C}"/>
    <cellStyle name="20% - Accent3 3 3 2 3" xfId="11309" xr:uid="{0D85F263-3E8B-46EB-B029-6B6DF056A8DE}"/>
    <cellStyle name="20% - Accent3 3 3 3" xfId="4940" xr:uid="{00000000-0005-0000-0000-0000AA010000}"/>
    <cellStyle name="20% - Accent3 3 3 3 2" xfId="13382" xr:uid="{A5ECD784-5AAB-401D-B2C5-B8BCD6D20EA7}"/>
    <cellStyle name="20% - Accent3 3 3 4" xfId="9164" xr:uid="{6ECDB889-5A3E-4C61-AD8E-83424EF4F99B}"/>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4F6462FC-8A64-4E8B-9164-29CA219ADC5A}"/>
    <cellStyle name="20% - Accent3 3 4 2 3" xfId="11722" xr:uid="{1BA8288A-FB82-4281-990D-1CED70B2BC8D}"/>
    <cellStyle name="20% - Accent3 3 4 3" xfId="5353" xr:uid="{00000000-0005-0000-0000-0000AE010000}"/>
    <cellStyle name="20% - Accent3 3 4 3 2" xfId="13795" xr:uid="{F31BDF74-D775-4624-AA42-F27331174733}"/>
    <cellStyle name="20% - Accent3 3 4 4" xfId="9577" xr:uid="{86EB99F0-A5E4-4037-9B99-4804FB7FF0C3}"/>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3A9C4FD1-C485-4D60-86D4-371FC8A6F4FF}"/>
    <cellStyle name="20% - Accent3 3 5 2 3" xfId="12135" xr:uid="{6CD4AA04-D7D8-4C24-91BB-0587B3367709}"/>
    <cellStyle name="20% - Accent3 3 5 3" xfId="5766" xr:uid="{00000000-0005-0000-0000-0000B2010000}"/>
    <cellStyle name="20% - Accent3 3 5 3 2" xfId="14208" xr:uid="{9CA47A60-3491-4052-8FE8-868A09B06B20}"/>
    <cellStyle name="20% - Accent3 3 5 4" xfId="9990" xr:uid="{0E85A51F-5BF1-4648-9B4A-48A210D7A29A}"/>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F439ECF9-EF10-45EC-AF9B-393648080125}"/>
    <cellStyle name="20% - Accent3 3 6 2 3" xfId="12548" xr:uid="{14400B4E-39DD-4C62-8545-B718FE613DC0}"/>
    <cellStyle name="20% - Accent3 3 6 3" xfId="6179" xr:uid="{00000000-0005-0000-0000-0000B6010000}"/>
    <cellStyle name="20% - Accent3 3 6 3 2" xfId="14621" xr:uid="{B56C6E82-52A4-4AEA-AFC1-4EFED7F6F202}"/>
    <cellStyle name="20% - Accent3 3 6 4" xfId="10403" xr:uid="{2C44F553-214D-46F7-81EA-BA03672791B6}"/>
    <cellStyle name="20% - Accent3 3 7" xfId="2285" xr:uid="{00000000-0005-0000-0000-0000B7010000}"/>
    <cellStyle name="20% - Accent3 3 7 2" xfId="6592" xr:uid="{00000000-0005-0000-0000-0000B8010000}"/>
    <cellStyle name="20% - Accent3 3 7 2 2" xfId="15034" xr:uid="{B1070740-031D-4430-995F-9ADA8A86890E}"/>
    <cellStyle name="20% - Accent3 3 7 3" xfId="10816" xr:uid="{16A6F5E8-25CB-4F52-86C5-399502923CC8}"/>
    <cellStyle name="20% - Accent3 3 8" xfId="4526" xr:uid="{00000000-0005-0000-0000-0000B9010000}"/>
    <cellStyle name="20% - Accent3 3 8 2" xfId="12968" xr:uid="{39A17AD3-A3CF-4EAC-A478-029D4EC4EAE2}"/>
    <cellStyle name="20% - Accent3 3 9" xfId="8750" xr:uid="{6965227C-165F-499B-85A4-C371005E5AB1}"/>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D87A06B2-710D-4542-BBFC-21DE9AAE489E}"/>
    <cellStyle name="20% - Accent3 4 2 2 3" xfId="11311" xr:uid="{938F5ADE-104B-4E71-9C99-A96768C8D402}"/>
    <cellStyle name="20% - Accent3 4 2 3" xfId="4942" xr:uid="{00000000-0005-0000-0000-0000BE010000}"/>
    <cellStyle name="20% - Accent3 4 2 3 2" xfId="13384" xr:uid="{CA83F973-0E2C-4E7A-8D43-81F1CBFBA3F3}"/>
    <cellStyle name="20% - Accent3 4 2 4" xfId="9166" xr:uid="{F1B6133A-42B6-478D-980B-527456D67251}"/>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66EFCF0F-2470-4FF9-A14D-7F7B78CD5057}"/>
    <cellStyle name="20% - Accent3 4 3 2 3" xfId="11724" xr:uid="{ACD64558-D27C-4D3F-81E9-AFA5ED4C51F2}"/>
    <cellStyle name="20% - Accent3 4 3 3" xfId="5355" xr:uid="{00000000-0005-0000-0000-0000C2010000}"/>
    <cellStyle name="20% - Accent3 4 3 3 2" xfId="13797" xr:uid="{99BE230D-F3E6-417D-AAA1-3CEEE15A6A84}"/>
    <cellStyle name="20% - Accent3 4 3 4" xfId="9579" xr:uid="{E0E89992-EC39-41D1-8795-E36489DEA7DC}"/>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012C7370-AF02-4BBF-9EAB-9ECA2BFCEB72}"/>
    <cellStyle name="20% - Accent3 4 4 2 3" xfId="12137" xr:uid="{66878177-332E-441F-A1A1-52498D173404}"/>
    <cellStyle name="20% - Accent3 4 4 3" xfId="5768" xr:uid="{00000000-0005-0000-0000-0000C6010000}"/>
    <cellStyle name="20% - Accent3 4 4 3 2" xfId="14210" xr:uid="{150F758D-DB5D-41E3-BC6A-2730F41925D4}"/>
    <cellStyle name="20% - Accent3 4 4 4" xfId="9992" xr:uid="{F9968E61-019E-45F6-9ED2-A29AB04DC9AD}"/>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E6C0D9AB-AAD7-4792-869A-13F4CEB402C9}"/>
    <cellStyle name="20% - Accent3 4 5 2 3" xfId="12550" xr:uid="{F51C8F30-53A3-4352-AE04-768B9D5C9C7F}"/>
    <cellStyle name="20% - Accent3 4 5 3" xfId="6181" xr:uid="{00000000-0005-0000-0000-0000CA010000}"/>
    <cellStyle name="20% - Accent3 4 5 3 2" xfId="14623" xr:uid="{94C54763-D7C7-489E-8F82-57FD8C1A9464}"/>
    <cellStyle name="20% - Accent3 4 5 4" xfId="10405" xr:uid="{4394CCE9-A2E5-4854-8371-80D1C107402A}"/>
    <cellStyle name="20% - Accent3 4 6" xfId="2287" xr:uid="{00000000-0005-0000-0000-0000CB010000}"/>
    <cellStyle name="20% - Accent3 4 6 2" xfId="6594" xr:uid="{00000000-0005-0000-0000-0000CC010000}"/>
    <cellStyle name="20% - Accent3 4 6 2 2" xfId="15036" xr:uid="{DBF6E8F3-342A-4BCC-BCF2-FD5E060FD235}"/>
    <cellStyle name="20% - Accent3 4 6 3" xfId="10818" xr:uid="{59171520-700B-4984-A47A-AA401BA02BF7}"/>
    <cellStyle name="20% - Accent3 4 7" xfId="4528" xr:uid="{00000000-0005-0000-0000-0000CD010000}"/>
    <cellStyle name="20% - Accent3 4 7 2" xfId="12970" xr:uid="{BD8286F3-3FC4-4995-8CDB-4508AF4C876F}"/>
    <cellStyle name="20% - Accent3 4 8" xfId="8752" xr:uid="{ED1F7766-C6E9-4776-B0E7-D4675C6BAF84}"/>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4690C782-0F92-4426-93AD-B7714EA3B93F}"/>
    <cellStyle name="20% - Accent3 5 2 3" xfId="11304" xr:uid="{D3FC2608-6D24-4BBB-9AFD-338B2706897A}"/>
    <cellStyle name="20% - Accent3 5 3" xfId="4935" xr:uid="{00000000-0005-0000-0000-0000D1010000}"/>
    <cellStyle name="20% - Accent3 5 3 2" xfId="13377" xr:uid="{F514E9E1-1895-4062-90FC-8B50B700EAD4}"/>
    <cellStyle name="20% - Accent3 5 4" xfId="9159" xr:uid="{8B467598-B77C-437E-89FF-E1C12B66816A}"/>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57CFBA38-E7A0-4B93-B32A-5AE79A47C230}"/>
    <cellStyle name="20% - Accent3 6 2 3" xfId="11717" xr:uid="{88214DCB-28AF-4910-A4B2-9FAC07FD907B}"/>
    <cellStyle name="20% - Accent3 6 3" xfId="5348" xr:uid="{00000000-0005-0000-0000-0000D5010000}"/>
    <cellStyle name="20% - Accent3 6 3 2" xfId="13790" xr:uid="{5F653BC9-C081-4457-A886-18AC26C63950}"/>
    <cellStyle name="20% - Accent3 6 4" xfId="9572" xr:uid="{3FA749FD-EB44-4242-8C68-0C8C69B4026E}"/>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D7680A41-488E-4270-9F34-73F5380891EA}"/>
    <cellStyle name="20% - Accent3 7 2 3" xfId="12130" xr:uid="{1116ED2D-EC36-49AD-B77E-38388C461361}"/>
    <cellStyle name="20% - Accent3 7 3" xfId="5761" xr:uid="{00000000-0005-0000-0000-0000D9010000}"/>
    <cellStyle name="20% - Accent3 7 3 2" xfId="14203" xr:uid="{D89B37AC-995B-4375-A8E2-697A97211535}"/>
    <cellStyle name="20% - Accent3 7 4" xfId="9985" xr:uid="{56B1F188-B85E-4492-B8C8-DB08EC91D853}"/>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986F385B-B092-484B-8A32-C1611369443D}"/>
    <cellStyle name="20% - Accent3 8 2 3" xfId="12543" xr:uid="{3A5C0681-3DB1-4729-8C25-B9843CB4D99F}"/>
    <cellStyle name="20% - Accent3 8 3" xfId="6174" xr:uid="{00000000-0005-0000-0000-0000DD010000}"/>
    <cellStyle name="20% - Accent3 8 3 2" xfId="14616" xr:uid="{B8F43127-F0FF-422B-B4BB-A44F7180CCC2}"/>
    <cellStyle name="20% - Accent3 8 4" xfId="10398" xr:uid="{B8289804-2D12-45CE-843A-7200D196FFDD}"/>
    <cellStyle name="20% - Accent3 9" xfId="2280" xr:uid="{00000000-0005-0000-0000-0000DE010000}"/>
    <cellStyle name="20% - Accent3 9 2" xfId="6587" xr:uid="{00000000-0005-0000-0000-0000DF010000}"/>
    <cellStyle name="20% - Accent3 9 2 2" xfId="15029" xr:uid="{11565BA3-6CBF-4208-B5D0-51AD180169CC}"/>
    <cellStyle name="20% - Accent3 9 3" xfId="10811" xr:uid="{26EED0DA-D9B7-4D01-B80E-F2E8E6B742CC}"/>
    <cellStyle name="20% - Accent4" xfId="25" builtinId="42" customBuiltin="1"/>
    <cellStyle name="20% - Accent4 10" xfId="4529" xr:uid="{00000000-0005-0000-0000-0000E1010000}"/>
    <cellStyle name="20% - Accent4 10 2" xfId="12971" xr:uid="{ED7C4056-400F-4D6E-84A9-AA3E71FE99CD}"/>
    <cellStyle name="20% - Accent4 11" xfId="8753" xr:uid="{D3AC1ABE-A34C-44D3-9C56-AE8B205353E4}"/>
    <cellStyle name="20% - Accent4 2" xfId="26" xr:uid="{00000000-0005-0000-0000-0000E2010000}"/>
    <cellStyle name="20% - Accent4 2 10" xfId="8754" xr:uid="{3A9D7DCD-5164-4657-98F3-E8D9CEEE1601}"/>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3F54460E-2E50-4443-AC34-775CC40EB294}"/>
    <cellStyle name="20% - Accent4 2 2 2 2 2 3" xfId="11315" xr:uid="{BE7806AE-AA3A-4007-AE51-7A92EAA482B5}"/>
    <cellStyle name="20% - Accent4 2 2 2 2 3" xfId="4946" xr:uid="{00000000-0005-0000-0000-0000E8010000}"/>
    <cellStyle name="20% - Accent4 2 2 2 2 3 2" xfId="13388" xr:uid="{5E2E05D2-0B7C-4E48-B40B-347BACEE95B6}"/>
    <cellStyle name="20% - Accent4 2 2 2 2 4" xfId="9170" xr:uid="{E731ECD8-52F8-4B0E-B2E1-7DC9C54968F4}"/>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61236484-D4D0-4586-AD2A-BC1818773B8B}"/>
    <cellStyle name="20% - Accent4 2 2 2 3 2 3" xfId="11728" xr:uid="{7E0DADAC-7B07-4407-ACE9-A70894939E7D}"/>
    <cellStyle name="20% - Accent4 2 2 2 3 3" xfId="5359" xr:uid="{00000000-0005-0000-0000-0000EC010000}"/>
    <cellStyle name="20% - Accent4 2 2 2 3 3 2" xfId="13801" xr:uid="{39031A6F-0258-4894-910A-F5F0E6003747}"/>
    <cellStyle name="20% - Accent4 2 2 2 3 4" xfId="9583" xr:uid="{0E733980-DAC4-47A3-B73F-B18E153E3E31}"/>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21FE638A-D25C-4500-BD41-95F5DEFD195A}"/>
    <cellStyle name="20% - Accent4 2 2 2 4 2 3" xfId="12141" xr:uid="{67CB1D09-6B0C-4B78-9BAD-44F00839A74D}"/>
    <cellStyle name="20% - Accent4 2 2 2 4 3" xfId="5772" xr:uid="{00000000-0005-0000-0000-0000F0010000}"/>
    <cellStyle name="20% - Accent4 2 2 2 4 3 2" xfId="14214" xr:uid="{ED088246-9A5A-4C76-B2D9-D40539D2C7D2}"/>
    <cellStyle name="20% - Accent4 2 2 2 4 4" xfId="9996" xr:uid="{2E4C8DEF-75F7-4305-AB75-3059DACE2988}"/>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9CC86D5C-5770-4A0C-8492-13CBE1EF9E62}"/>
    <cellStyle name="20% - Accent4 2 2 2 5 2 3" xfId="12554" xr:uid="{DE7A5741-371E-40E0-A368-C46BF3377106}"/>
    <cellStyle name="20% - Accent4 2 2 2 5 3" xfId="6185" xr:uid="{00000000-0005-0000-0000-0000F4010000}"/>
    <cellStyle name="20% - Accent4 2 2 2 5 3 2" xfId="14627" xr:uid="{40C3B3B4-353B-4736-ABD1-021C3407B85A}"/>
    <cellStyle name="20% - Accent4 2 2 2 5 4" xfId="10409" xr:uid="{488253A0-7333-472C-9F2F-FC7BDC727C45}"/>
    <cellStyle name="20% - Accent4 2 2 2 6" xfId="2291" xr:uid="{00000000-0005-0000-0000-0000F5010000}"/>
    <cellStyle name="20% - Accent4 2 2 2 6 2" xfId="6598" xr:uid="{00000000-0005-0000-0000-0000F6010000}"/>
    <cellStyle name="20% - Accent4 2 2 2 6 2 2" xfId="15040" xr:uid="{2C0B1A89-44AE-4787-AABF-9FB08D616B03}"/>
    <cellStyle name="20% - Accent4 2 2 2 6 3" xfId="10822" xr:uid="{EA5DACA5-7AF0-4B65-9C68-A24F8F6C4FF3}"/>
    <cellStyle name="20% - Accent4 2 2 2 7" xfId="4532" xr:uid="{00000000-0005-0000-0000-0000F7010000}"/>
    <cellStyle name="20% - Accent4 2 2 2 7 2" xfId="12974" xr:uid="{26CE7907-B14F-49F9-9905-B6FCE9958879}"/>
    <cellStyle name="20% - Accent4 2 2 2 8" xfId="8756" xr:uid="{429C065F-1017-45E4-946D-D2EFB71BA386}"/>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CF6F60AD-95BD-4FAA-AEF9-40E3CEF4DCFD}"/>
    <cellStyle name="20% - Accent4 2 2 3 2 3" xfId="11314" xr:uid="{38EBE2D5-D9E6-46A9-BE5E-328AA7F37B10}"/>
    <cellStyle name="20% - Accent4 2 2 3 3" xfId="4945" xr:uid="{00000000-0005-0000-0000-0000FB010000}"/>
    <cellStyle name="20% - Accent4 2 2 3 3 2" xfId="13387" xr:uid="{D42D7CD3-BA65-486C-AB7F-250B69B65A8C}"/>
    <cellStyle name="20% - Accent4 2 2 3 4" xfId="9169" xr:uid="{FB7723BC-EF50-4DD0-8412-1FF09DCABD33}"/>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78952101-D306-477A-91E9-0FE2F416AB03}"/>
    <cellStyle name="20% - Accent4 2 2 4 2 3" xfId="11727" xr:uid="{7A60E95B-60A4-47D1-9D16-CA84E63D2C28}"/>
    <cellStyle name="20% - Accent4 2 2 4 3" xfId="5358" xr:uid="{00000000-0005-0000-0000-0000FF010000}"/>
    <cellStyle name="20% - Accent4 2 2 4 3 2" xfId="13800" xr:uid="{0F988BD0-839C-4BFD-9154-FE2FAEC42739}"/>
    <cellStyle name="20% - Accent4 2 2 4 4" xfId="9582" xr:uid="{2FE8C238-B0F4-48AE-BDE3-6FF09DC37A63}"/>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B51B4541-2F49-4954-91C6-C17E25255DCD}"/>
    <cellStyle name="20% - Accent4 2 2 5 2 3" xfId="12140" xr:uid="{B0D46FE5-DC58-4B48-A7D7-1C6AF7C26FBD}"/>
    <cellStyle name="20% - Accent4 2 2 5 3" xfId="5771" xr:uid="{00000000-0005-0000-0000-000003020000}"/>
    <cellStyle name="20% - Accent4 2 2 5 3 2" xfId="14213" xr:uid="{860759E6-3C47-4BF2-8215-A8FB9229ECF9}"/>
    <cellStyle name="20% - Accent4 2 2 5 4" xfId="9995" xr:uid="{F24EBCF0-4767-4C9A-8807-B19E41E491D7}"/>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3F7E433A-5852-479B-98B9-D69AD9EC6DF5}"/>
    <cellStyle name="20% - Accent4 2 2 6 2 3" xfId="12553" xr:uid="{9788CC37-7C0C-4C48-A27A-A2BFF58C2514}"/>
    <cellStyle name="20% - Accent4 2 2 6 3" xfId="6184" xr:uid="{00000000-0005-0000-0000-000007020000}"/>
    <cellStyle name="20% - Accent4 2 2 6 3 2" xfId="14626" xr:uid="{6CE3B77C-64CF-479B-A20A-F1AA00EDDA58}"/>
    <cellStyle name="20% - Accent4 2 2 6 4" xfId="10408" xr:uid="{159A6DFF-E363-43C4-878D-AE095D3AAD28}"/>
    <cellStyle name="20% - Accent4 2 2 7" xfId="2290" xr:uid="{00000000-0005-0000-0000-000008020000}"/>
    <cellStyle name="20% - Accent4 2 2 7 2" xfId="6597" xr:uid="{00000000-0005-0000-0000-000009020000}"/>
    <cellStyle name="20% - Accent4 2 2 7 2 2" xfId="15039" xr:uid="{CA64A6DC-214D-4893-B3C9-CEBB713DB0BD}"/>
    <cellStyle name="20% - Accent4 2 2 7 3" xfId="10821" xr:uid="{E3FBBAE5-77A9-4CFE-AACC-1CF7AE68ACB1}"/>
    <cellStyle name="20% - Accent4 2 2 8" xfId="4531" xr:uid="{00000000-0005-0000-0000-00000A020000}"/>
    <cellStyle name="20% - Accent4 2 2 8 2" xfId="12973" xr:uid="{C6F6994D-7174-43C8-8FAD-353D30CF9252}"/>
    <cellStyle name="20% - Accent4 2 2 9" xfId="8755" xr:uid="{5FBD494A-E7E8-4D84-A7BE-5470187D4C3E}"/>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C9A9FC79-A214-4A5C-861A-34D2B4F233D3}"/>
    <cellStyle name="20% - Accent4 2 3 2 2 3" xfId="11316" xr:uid="{7C6D002C-AFE4-4440-BC49-DD4E5E04FCDF}"/>
    <cellStyle name="20% - Accent4 2 3 2 3" xfId="4947" xr:uid="{00000000-0005-0000-0000-00000F020000}"/>
    <cellStyle name="20% - Accent4 2 3 2 3 2" xfId="13389" xr:uid="{CB41E09E-3D07-4105-89CF-CADC3D9AABDB}"/>
    <cellStyle name="20% - Accent4 2 3 2 4" xfId="9171" xr:uid="{E7D562B3-6CE6-4E33-80A5-8A476D4C5649}"/>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EC53D11E-4451-4FBB-972A-7A9FAB5CCFBF}"/>
    <cellStyle name="20% - Accent4 2 3 3 2 3" xfId="11729" xr:uid="{D57A6F34-ED98-4571-AE5B-A19F35645DEA}"/>
    <cellStyle name="20% - Accent4 2 3 3 3" xfId="5360" xr:uid="{00000000-0005-0000-0000-000013020000}"/>
    <cellStyle name="20% - Accent4 2 3 3 3 2" xfId="13802" xr:uid="{1DB14515-F422-4814-9531-86FBA295CF1D}"/>
    <cellStyle name="20% - Accent4 2 3 3 4" xfId="9584" xr:uid="{1DACCE3F-82D3-4D59-B9EC-7EE3DD5C745F}"/>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E5B25BC4-54CE-4A5A-B6AD-619DE11A5869}"/>
    <cellStyle name="20% - Accent4 2 3 4 2 3" xfId="12142" xr:uid="{AA87F384-9867-4A63-9C95-EFC770E3797F}"/>
    <cellStyle name="20% - Accent4 2 3 4 3" xfId="5773" xr:uid="{00000000-0005-0000-0000-000017020000}"/>
    <cellStyle name="20% - Accent4 2 3 4 3 2" xfId="14215" xr:uid="{9406D111-D5B9-42DA-8166-C254F28D415C}"/>
    <cellStyle name="20% - Accent4 2 3 4 4" xfId="9997" xr:uid="{07A8F4DF-DB69-4DEA-8EFD-DAFBA13F3C84}"/>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D29B85D3-7AD3-4DD1-9448-357486302CE2}"/>
    <cellStyle name="20% - Accent4 2 3 5 2 3" xfId="12555" xr:uid="{DF9F883D-3509-4A3A-85C0-033F21878575}"/>
    <cellStyle name="20% - Accent4 2 3 5 3" xfId="6186" xr:uid="{00000000-0005-0000-0000-00001B020000}"/>
    <cellStyle name="20% - Accent4 2 3 5 3 2" xfId="14628" xr:uid="{2F2D9BD7-F004-4016-BE57-41FC06D19B71}"/>
    <cellStyle name="20% - Accent4 2 3 5 4" xfId="10410" xr:uid="{0A21B2E0-389A-4CD6-8E3B-4CC62621B718}"/>
    <cellStyle name="20% - Accent4 2 3 6" xfId="2292" xr:uid="{00000000-0005-0000-0000-00001C020000}"/>
    <cellStyle name="20% - Accent4 2 3 6 2" xfId="6599" xr:uid="{00000000-0005-0000-0000-00001D020000}"/>
    <cellStyle name="20% - Accent4 2 3 6 2 2" xfId="15041" xr:uid="{3C69E6E8-276F-4DEF-B1C9-BF787F51CEBA}"/>
    <cellStyle name="20% - Accent4 2 3 6 3" xfId="10823" xr:uid="{84E6F2B1-5343-4EE6-9397-6E6BAB3D33F8}"/>
    <cellStyle name="20% - Accent4 2 3 7" xfId="4533" xr:uid="{00000000-0005-0000-0000-00001E020000}"/>
    <cellStyle name="20% - Accent4 2 3 7 2" xfId="12975" xr:uid="{BA196CAB-BA1B-4893-97E4-13E2A34C2EC0}"/>
    <cellStyle name="20% - Accent4 2 3 8" xfId="8757" xr:uid="{D31C6C9B-F0EE-4CB1-9021-FEE84A06A4B0}"/>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44E2657A-A2DE-4B5D-9E85-C8C6C43105CB}"/>
    <cellStyle name="20% - Accent4 2 4 2 3" xfId="11313" xr:uid="{0F45B61C-0F6F-492A-99DF-B13685532657}"/>
    <cellStyle name="20% - Accent4 2 4 3" xfId="4944" xr:uid="{00000000-0005-0000-0000-000022020000}"/>
    <cellStyle name="20% - Accent4 2 4 3 2" xfId="13386" xr:uid="{76B33A04-6752-42F3-91C9-C9CD46F16D61}"/>
    <cellStyle name="20% - Accent4 2 4 4" xfId="9168" xr:uid="{274226E8-B952-4A1F-A539-868C690CCC27}"/>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CB73A4AA-660C-4BBE-A54F-715C266190A2}"/>
    <cellStyle name="20% - Accent4 2 5 2 3" xfId="11726" xr:uid="{762B7647-0B83-4012-B5E9-35C5437B1DB2}"/>
    <cellStyle name="20% - Accent4 2 5 3" xfId="5357" xr:uid="{00000000-0005-0000-0000-000026020000}"/>
    <cellStyle name="20% - Accent4 2 5 3 2" xfId="13799" xr:uid="{6A1C95D0-8B77-4E55-89D5-CD14A206AB60}"/>
    <cellStyle name="20% - Accent4 2 5 4" xfId="9581" xr:uid="{96BFB674-E76C-4152-97E6-5F4D654EEF86}"/>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EFB0B615-9928-4FC3-A254-C8748A88EE83}"/>
    <cellStyle name="20% - Accent4 2 6 2 3" xfId="12139" xr:uid="{2B49491F-BC7A-4FA3-BA75-25DCCAD11CEA}"/>
    <cellStyle name="20% - Accent4 2 6 3" xfId="5770" xr:uid="{00000000-0005-0000-0000-00002A020000}"/>
    <cellStyle name="20% - Accent4 2 6 3 2" xfId="14212" xr:uid="{682E7985-46A4-43C8-900D-34AA6D9C4456}"/>
    <cellStyle name="20% - Accent4 2 6 4" xfId="9994" xr:uid="{CA9168F3-F298-4077-9DB1-54B69DC21A0A}"/>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FAE0BBB5-6DD3-47B0-9E42-004310D73A97}"/>
    <cellStyle name="20% - Accent4 2 7 2 3" xfId="12552" xr:uid="{43CA0D9A-3402-45C6-9A4E-CCE445DDE122}"/>
    <cellStyle name="20% - Accent4 2 7 3" xfId="6183" xr:uid="{00000000-0005-0000-0000-00002E020000}"/>
    <cellStyle name="20% - Accent4 2 7 3 2" xfId="14625" xr:uid="{CF7A52F9-5CE2-433E-9BF6-0FD26EBC03FC}"/>
    <cellStyle name="20% - Accent4 2 7 4" xfId="10407" xr:uid="{1DF4F264-3630-41B0-93EF-C4F261AB912A}"/>
    <cellStyle name="20% - Accent4 2 8" xfId="2289" xr:uid="{00000000-0005-0000-0000-00002F020000}"/>
    <cellStyle name="20% - Accent4 2 8 2" xfId="6596" xr:uid="{00000000-0005-0000-0000-000030020000}"/>
    <cellStyle name="20% - Accent4 2 8 2 2" xfId="15038" xr:uid="{4E417304-D3BF-4C8F-AF4A-B5EE94CD7CA5}"/>
    <cellStyle name="20% - Accent4 2 8 3" xfId="10820" xr:uid="{BACA0642-89D3-456E-A399-7F9EC8557AE1}"/>
    <cellStyle name="20% - Accent4 2 9" xfId="4530" xr:uid="{00000000-0005-0000-0000-000031020000}"/>
    <cellStyle name="20% - Accent4 2 9 2" xfId="12972" xr:uid="{7C72DF54-7B64-4123-B81E-6706DB20CC18}"/>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02B0C911-E554-4BDD-9400-7E63C995C161}"/>
    <cellStyle name="20% - Accent4 3 2 2 2 3" xfId="11318" xr:uid="{5747870F-600B-4ACC-96B8-5959B33B1669}"/>
    <cellStyle name="20% - Accent4 3 2 2 3" xfId="4949" xr:uid="{00000000-0005-0000-0000-000037020000}"/>
    <cellStyle name="20% - Accent4 3 2 2 3 2" xfId="13391" xr:uid="{352877F8-ADFF-4410-AA17-6B59BDFD6417}"/>
    <cellStyle name="20% - Accent4 3 2 2 4" xfId="9173" xr:uid="{5E1795D2-1E22-42B8-8D16-83BC4CCF1B6D}"/>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31D4D0D5-8016-42FC-8126-41EAA2916F56}"/>
    <cellStyle name="20% - Accent4 3 2 3 2 3" xfId="11731" xr:uid="{18AE15AB-C648-4867-AE10-C8D7FC87E49C}"/>
    <cellStyle name="20% - Accent4 3 2 3 3" xfId="5362" xr:uid="{00000000-0005-0000-0000-00003B020000}"/>
    <cellStyle name="20% - Accent4 3 2 3 3 2" xfId="13804" xr:uid="{236AA0A4-2E0B-4576-8C1B-1B0CA171CA59}"/>
    <cellStyle name="20% - Accent4 3 2 3 4" xfId="9586" xr:uid="{22B12B52-312A-44CC-8858-4CB4A5DC535D}"/>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A21F76FB-F2A7-4B6D-A559-039F3795EEC8}"/>
    <cellStyle name="20% - Accent4 3 2 4 2 3" xfId="12144" xr:uid="{1E0B4498-DA45-45CE-B051-8444535A7CF5}"/>
    <cellStyle name="20% - Accent4 3 2 4 3" xfId="5775" xr:uid="{00000000-0005-0000-0000-00003F020000}"/>
    <cellStyle name="20% - Accent4 3 2 4 3 2" xfId="14217" xr:uid="{9AA85E9F-6D32-4578-8733-28AE8EC443EF}"/>
    <cellStyle name="20% - Accent4 3 2 4 4" xfId="9999" xr:uid="{47178244-1627-4A82-B613-C5EA3E79A582}"/>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FD99D0F1-650F-4E64-B3EF-D8C13ED20DBB}"/>
    <cellStyle name="20% - Accent4 3 2 5 2 3" xfId="12557" xr:uid="{B81F8279-3CBA-4D9B-9793-721F7EF633E0}"/>
    <cellStyle name="20% - Accent4 3 2 5 3" xfId="6188" xr:uid="{00000000-0005-0000-0000-000043020000}"/>
    <cellStyle name="20% - Accent4 3 2 5 3 2" xfId="14630" xr:uid="{209420F6-7D96-4441-9DF0-0C2C0DCF49CB}"/>
    <cellStyle name="20% - Accent4 3 2 5 4" xfId="10412" xr:uid="{8AD998E4-AAC5-49F4-8279-DACCFE334402}"/>
    <cellStyle name="20% - Accent4 3 2 6" xfId="2294" xr:uid="{00000000-0005-0000-0000-000044020000}"/>
    <cellStyle name="20% - Accent4 3 2 6 2" xfId="6601" xr:uid="{00000000-0005-0000-0000-000045020000}"/>
    <cellStyle name="20% - Accent4 3 2 6 2 2" xfId="15043" xr:uid="{7352A0A6-B1FF-49C0-85B7-8CFDA4C2B361}"/>
    <cellStyle name="20% - Accent4 3 2 6 3" xfId="10825" xr:uid="{A24AACCA-E03A-42C9-9D71-F70265D14AA7}"/>
    <cellStyle name="20% - Accent4 3 2 7" xfId="4535" xr:uid="{00000000-0005-0000-0000-000046020000}"/>
    <cellStyle name="20% - Accent4 3 2 7 2" xfId="12977" xr:uid="{FE893AB6-4B2B-45F1-AD6B-50BA4A11D512}"/>
    <cellStyle name="20% - Accent4 3 2 8" xfId="8759" xr:uid="{6DFB8730-F7CB-481A-91D8-3C5C33756EAF}"/>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B1E72933-C97A-4898-AE39-7362BC26E859}"/>
    <cellStyle name="20% - Accent4 3 3 2 3" xfId="11317" xr:uid="{BB40E89A-710D-427A-BC2D-536634C54A04}"/>
    <cellStyle name="20% - Accent4 3 3 3" xfId="4948" xr:uid="{00000000-0005-0000-0000-00004A020000}"/>
    <cellStyle name="20% - Accent4 3 3 3 2" xfId="13390" xr:uid="{1AD62151-9376-49CD-BDDE-9CA2577EFFD1}"/>
    <cellStyle name="20% - Accent4 3 3 4" xfId="9172" xr:uid="{9193B1A5-53C5-42DD-A376-A72E0D44478F}"/>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23DCF913-CD0C-4BFA-AFF3-FF878229A40F}"/>
    <cellStyle name="20% - Accent4 3 4 2 3" xfId="11730" xr:uid="{E80C0980-154B-46AE-8638-C66593A3F66E}"/>
    <cellStyle name="20% - Accent4 3 4 3" xfId="5361" xr:uid="{00000000-0005-0000-0000-00004E020000}"/>
    <cellStyle name="20% - Accent4 3 4 3 2" xfId="13803" xr:uid="{3AB84699-D1E0-4D7E-927E-B32BB2B424E4}"/>
    <cellStyle name="20% - Accent4 3 4 4" xfId="9585" xr:uid="{6D70353B-5083-40FD-B7B2-F43667F386A4}"/>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8855B9AD-7319-45A7-845D-CBE8620C0DB0}"/>
    <cellStyle name="20% - Accent4 3 5 2 3" xfId="12143" xr:uid="{697DB98D-5FBC-4016-B452-04EFFEE63CA6}"/>
    <cellStyle name="20% - Accent4 3 5 3" xfId="5774" xr:uid="{00000000-0005-0000-0000-000052020000}"/>
    <cellStyle name="20% - Accent4 3 5 3 2" xfId="14216" xr:uid="{D87E60A2-C43B-43AA-B308-9186701BD73D}"/>
    <cellStyle name="20% - Accent4 3 5 4" xfId="9998" xr:uid="{76589B5D-D274-43C8-80F0-500DCC4E9C6C}"/>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08D408D6-CF40-422B-8A05-50696DCED7F3}"/>
    <cellStyle name="20% - Accent4 3 6 2 3" xfId="12556" xr:uid="{1FFB6839-83FA-43BE-83C6-30C2FCBAFE63}"/>
    <cellStyle name="20% - Accent4 3 6 3" xfId="6187" xr:uid="{00000000-0005-0000-0000-000056020000}"/>
    <cellStyle name="20% - Accent4 3 6 3 2" xfId="14629" xr:uid="{17604B0D-2678-4226-BE07-0B63459A2074}"/>
    <cellStyle name="20% - Accent4 3 6 4" xfId="10411" xr:uid="{F8F82095-5AE1-4AAD-93B4-C30FBCEAE6E5}"/>
    <cellStyle name="20% - Accent4 3 7" xfId="2293" xr:uid="{00000000-0005-0000-0000-000057020000}"/>
    <cellStyle name="20% - Accent4 3 7 2" xfId="6600" xr:uid="{00000000-0005-0000-0000-000058020000}"/>
    <cellStyle name="20% - Accent4 3 7 2 2" xfId="15042" xr:uid="{591C822A-73A0-430A-8A33-A57F810D9AD6}"/>
    <cellStyle name="20% - Accent4 3 7 3" xfId="10824" xr:uid="{AFB322FB-DCD0-4C16-8809-14CBEB8C43DE}"/>
    <cellStyle name="20% - Accent4 3 8" xfId="4534" xr:uid="{00000000-0005-0000-0000-000059020000}"/>
    <cellStyle name="20% - Accent4 3 8 2" xfId="12976" xr:uid="{6C3052F5-C02E-4226-8565-4BEE913A816C}"/>
    <cellStyle name="20% - Accent4 3 9" xfId="8758" xr:uid="{75E6B842-F56D-4DD5-B2CA-B139353E82DB}"/>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80BEA373-1142-4B02-9E66-652B014FD6AF}"/>
    <cellStyle name="20% - Accent4 4 2 2 3" xfId="11319" xr:uid="{3B93D8AF-B241-49F4-AAB4-38A8EEFF931C}"/>
    <cellStyle name="20% - Accent4 4 2 3" xfId="4950" xr:uid="{00000000-0005-0000-0000-00005E020000}"/>
    <cellStyle name="20% - Accent4 4 2 3 2" xfId="13392" xr:uid="{C34ED830-DA0C-494D-AAE0-DF211BF5DD33}"/>
    <cellStyle name="20% - Accent4 4 2 4" xfId="9174" xr:uid="{296B0E88-40AA-4748-8393-9C3C660122C7}"/>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00BAFCFC-4671-4022-9175-F8C724A48E50}"/>
    <cellStyle name="20% - Accent4 4 3 2 3" xfId="11732" xr:uid="{79F728FF-0A09-45D9-94C1-88E4ED9B6D90}"/>
    <cellStyle name="20% - Accent4 4 3 3" xfId="5363" xr:uid="{00000000-0005-0000-0000-000062020000}"/>
    <cellStyle name="20% - Accent4 4 3 3 2" xfId="13805" xr:uid="{680536FB-7347-4267-98C7-0DFD4C88A75F}"/>
    <cellStyle name="20% - Accent4 4 3 4" xfId="9587" xr:uid="{6B80D549-E45B-4848-A6CD-D6E81EA77D32}"/>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16C474D7-5582-46D1-B3B9-3362678BA825}"/>
    <cellStyle name="20% - Accent4 4 4 2 3" xfId="12145" xr:uid="{0E2ECB38-74E3-421E-9BE3-BC587A8A001A}"/>
    <cellStyle name="20% - Accent4 4 4 3" xfId="5776" xr:uid="{00000000-0005-0000-0000-000066020000}"/>
    <cellStyle name="20% - Accent4 4 4 3 2" xfId="14218" xr:uid="{763CD532-3849-4A93-96AE-D48D4068FBEC}"/>
    <cellStyle name="20% - Accent4 4 4 4" xfId="10000" xr:uid="{379965F1-859C-4855-AB21-61683550E53F}"/>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3B81D689-5D4A-4308-9E8E-C8D62FB15505}"/>
    <cellStyle name="20% - Accent4 4 5 2 3" xfId="12558" xr:uid="{80007F97-D443-4FAB-B70E-937155547C02}"/>
    <cellStyle name="20% - Accent4 4 5 3" xfId="6189" xr:uid="{00000000-0005-0000-0000-00006A020000}"/>
    <cellStyle name="20% - Accent4 4 5 3 2" xfId="14631" xr:uid="{BB4B580F-445C-4CA6-9F95-60486D9BA982}"/>
    <cellStyle name="20% - Accent4 4 5 4" xfId="10413" xr:uid="{1976EE86-F539-431D-A14E-DBEF9E99CE64}"/>
    <cellStyle name="20% - Accent4 4 6" xfId="2295" xr:uid="{00000000-0005-0000-0000-00006B020000}"/>
    <cellStyle name="20% - Accent4 4 6 2" xfId="6602" xr:uid="{00000000-0005-0000-0000-00006C020000}"/>
    <cellStyle name="20% - Accent4 4 6 2 2" xfId="15044" xr:uid="{BD8149A0-AC97-4AD1-9DBB-C90F6F164376}"/>
    <cellStyle name="20% - Accent4 4 6 3" xfId="10826" xr:uid="{491CFB1C-F2AB-4E43-9484-D1C3BF1246C7}"/>
    <cellStyle name="20% - Accent4 4 7" xfId="4536" xr:uid="{00000000-0005-0000-0000-00006D020000}"/>
    <cellStyle name="20% - Accent4 4 7 2" xfId="12978" xr:uid="{388BAF8B-8F25-4E26-B2B1-715B2C210F0B}"/>
    <cellStyle name="20% - Accent4 4 8" xfId="8760" xr:uid="{BAED803E-292B-43FB-B1BB-BF30D4710951}"/>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CD1EC91F-226D-401F-A3EF-917ED25080F9}"/>
    <cellStyle name="20% - Accent4 5 2 3" xfId="11312" xr:uid="{7DF97163-F1B5-4694-9C82-51818BEE557B}"/>
    <cellStyle name="20% - Accent4 5 3" xfId="4943" xr:uid="{00000000-0005-0000-0000-000071020000}"/>
    <cellStyle name="20% - Accent4 5 3 2" xfId="13385" xr:uid="{59AC31F5-0773-4C40-B09B-E23576A8CA22}"/>
    <cellStyle name="20% - Accent4 5 4" xfId="9167" xr:uid="{FA2F97EB-C9C6-4D32-923A-DBD7439EF880}"/>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1E98154C-249B-4DB3-9C68-95C599B13ED1}"/>
    <cellStyle name="20% - Accent4 6 2 3" xfId="11725" xr:uid="{871766FD-FB22-4A38-9A6B-53A9242C205C}"/>
    <cellStyle name="20% - Accent4 6 3" xfId="5356" xr:uid="{00000000-0005-0000-0000-000075020000}"/>
    <cellStyle name="20% - Accent4 6 3 2" xfId="13798" xr:uid="{EE278BBD-CD7B-476A-B307-D6801698CAF7}"/>
    <cellStyle name="20% - Accent4 6 4" xfId="9580" xr:uid="{3D7ABBC3-155E-4C87-9EC4-FA2BA359E9D3}"/>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7A5F7470-0FA4-45F8-B6DE-974B888916FF}"/>
    <cellStyle name="20% - Accent4 7 2 3" xfId="12138" xr:uid="{F3983AA9-0588-4DC6-B53D-FE060AD49805}"/>
    <cellStyle name="20% - Accent4 7 3" xfId="5769" xr:uid="{00000000-0005-0000-0000-000079020000}"/>
    <cellStyle name="20% - Accent4 7 3 2" xfId="14211" xr:uid="{2A35EBFB-F65A-4F72-BE26-71B2C9831821}"/>
    <cellStyle name="20% - Accent4 7 4" xfId="9993" xr:uid="{AD3F85C1-2AA9-4C3A-BF85-4AC0106DFA7E}"/>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410D27BF-5DDE-400F-B7F2-C75DDF309C95}"/>
    <cellStyle name="20% - Accent4 8 2 3" xfId="12551" xr:uid="{9D841C70-6EF6-4867-A605-7DDBD38C4FBD}"/>
    <cellStyle name="20% - Accent4 8 3" xfId="6182" xr:uid="{00000000-0005-0000-0000-00007D020000}"/>
    <cellStyle name="20% - Accent4 8 3 2" xfId="14624" xr:uid="{82B61551-1730-4AC2-B899-F61E4F045A92}"/>
    <cellStyle name="20% - Accent4 8 4" xfId="10406" xr:uid="{5762911F-9ADB-4651-AA30-F0FA179A8493}"/>
    <cellStyle name="20% - Accent4 9" xfId="2288" xr:uid="{00000000-0005-0000-0000-00007E020000}"/>
    <cellStyle name="20% - Accent4 9 2" xfId="6595" xr:uid="{00000000-0005-0000-0000-00007F020000}"/>
    <cellStyle name="20% - Accent4 9 2 2" xfId="15037" xr:uid="{9E59BB6F-7666-4875-8608-DC9943802070}"/>
    <cellStyle name="20% - Accent4 9 3" xfId="10819" xr:uid="{E438E7F8-AECD-42BD-A053-6EA89AC27F1B}"/>
    <cellStyle name="20% - Accent5" xfId="33" builtinId="46" customBuiltin="1"/>
    <cellStyle name="20% - Accent5 10" xfId="4537" xr:uid="{00000000-0005-0000-0000-000081020000}"/>
    <cellStyle name="20% - Accent5 10 2" xfId="12979" xr:uid="{56D65890-F09F-42CB-A2B9-B7B6FA9A62C5}"/>
    <cellStyle name="20% - Accent5 11" xfId="8761" xr:uid="{ECC661BE-10BA-4F44-8E98-95E239CE3CA4}"/>
    <cellStyle name="20% - Accent5 2" xfId="34" xr:uid="{00000000-0005-0000-0000-000082020000}"/>
    <cellStyle name="20% - Accent5 2 10" xfId="8762" xr:uid="{3C640AF9-496F-40AC-9E4C-416A8E64CAEB}"/>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DA25BC0C-829E-4307-AE1A-3C7189EC83A8}"/>
    <cellStyle name="20% - Accent5 2 2 2 2 2 3" xfId="11323" xr:uid="{363D5714-A623-4F7D-BA90-D19CBD90CAFA}"/>
    <cellStyle name="20% - Accent5 2 2 2 2 3" xfId="4954" xr:uid="{00000000-0005-0000-0000-000088020000}"/>
    <cellStyle name="20% - Accent5 2 2 2 2 3 2" xfId="13396" xr:uid="{DBDE85D9-AF9F-4548-AF4C-A15F4889D896}"/>
    <cellStyle name="20% - Accent5 2 2 2 2 4" xfId="9178" xr:uid="{E8E28690-5BF1-444C-9420-940599DF8153}"/>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8342CF47-C2F2-4766-9A61-E8C57C9FC9D7}"/>
    <cellStyle name="20% - Accent5 2 2 2 3 2 3" xfId="11736" xr:uid="{36AD74E7-A714-4A37-B190-727E3C99BCB1}"/>
    <cellStyle name="20% - Accent5 2 2 2 3 3" xfId="5367" xr:uid="{00000000-0005-0000-0000-00008C020000}"/>
    <cellStyle name="20% - Accent5 2 2 2 3 3 2" xfId="13809" xr:uid="{656771B1-1F0F-4935-9CA7-A66ADFA0C6A6}"/>
    <cellStyle name="20% - Accent5 2 2 2 3 4" xfId="9591" xr:uid="{1F8043E5-6ADB-4E53-8207-B15C11547EA1}"/>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C6FF0C24-F3AD-4FD5-88B5-403785649F11}"/>
    <cellStyle name="20% - Accent5 2 2 2 4 2 3" xfId="12149" xr:uid="{966E84EC-A61C-4E98-9C23-43E6035DA5B5}"/>
    <cellStyle name="20% - Accent5 2 2 2 4 3" xfId="5780" xr:uid="{00000000-0005-0000-0000-000090020000}"/>
    <cellStyle name="20% - Accent5 2 2 2 4 3 2" xfId="14222" xr:uid="{0C282BE8-56B8-4D20-BBCC-9E97A6DCD7C3}"/>
    <cellStyle name="20% - Accent5 2 2 2 4 4" xfId="10004" xr:uid="{0F4DBC87-9C18-4849-997F-4B527219F935}"/>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FCF7D650-632A-499F-9633-41825A9414F4}"/>
    <cellStyle name="20% - Accent5 2 2 2 5 2 3" xfId="12562" xr:uid="{6F68D910-2774-4CA6-A481-A887DD07F844}"/>
    <cellStyle name="20% - Accent5 2 2 2 5 3" xfId="6193" xr:uid="{00000000-0005-0000-0000-000094020000}"/>
    <cellStyle name="20% - Accent5 2 2 2 5 3 2" xfId="14635" xr:uid="{4433C26C-A3B0-4427-9BC8-AD26D4B93286}"/>
    <cellStyle name="20% - Accent5 2 2 2 5 4" xfId="10417" xr:uid="{37B5DE1A-0BF3-4BF0-8159-019FF87A055B}"/>
    <cellStyle name="20% - Accent5 2 2 2 6" xfId="2299" xr:uid="{00000000-0005-0000-0000-000095020000}"/>
    <cellStyle name="20% - Accent5 2 2 2 6 2" xfId="6606" xr:uid="{00000000-0005-0000-0000-000096020000}"/>
    <cellStyle name="20% - Accent5 2 2 2 6 2 2" xfId="15048" xr:uid="{99442DF4-71DE-4FA6-B217-B2C8605E9F7D}"/>
    <cellStyle name="20% - Accent5 2 2 2 6 3" xfId="10830" xr:uid="{12FB81C7-5061-4CDA-8195-8A8584C4FD2E}"/>
    <cellStyle name="20% - Accent5 2 2 2 7" xfId="4540" xr:uid="{00000000-0005-0000-0000-000097020000}"/>
    <cellStyle name="20% - Accent5 2 2 2 7 2" xfId="12982" xr:uid="{52E75DEE-3863-4040-B6A1-7141E9169E1D}"/>
    <cellStyle name="20% - Accent5 2 2 2 8" xfId="8764" xr:uid="{7681D2BD-6DF5-4E16-BD08-3F43F9F775EB}"/>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3A3D68A3-E5ED-4291-87E8-7635D4077508}"/>
    <cellStyle name="20% - Accent5 2 2 3 2 3" xfId="11322" xr:uid="{90E8E878-C04F-48A1-AAB0-DDAA6B2037E7}"/>
    <cellStyle name="20% - Accent5 2 2 3 3" xfId="4953" xr:uid="{00000000-0005-0000-0000-00009B020000}"/>
    <cellStyle name="20% - Accent5 2 2 3 3 2" xfId="13395" xr:uid="{1CF35112-2EA4-4C32-AEC3-72D7E1B40E2E}"/>
    <cellStyle name="20% - Accent5 2 2 3 4" xfId="9177" xr:uid="{740A0475-CA39-462A-8A0B-DF8E7157765E}"/>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F36840E2-6B45-4535-9DA3-9B1AF0D1E5E0}"/>
    <cellStyle name="20% - Accent5 2 2 4 2 3" xfId="11735" xr:uid="{F9C4FF3B-D8BC-46DF-A6F7-D755D87C67EC}"/>
    <cellStyle name="20% - Accent5 2 2 4 3" xfId="5366" xr:uid="{00000000-0005-0000-0000-00009F020000}"/>
    <cellStyle name="20% - Accent5 2 2 4 3 2" xfId="13808" xr:uid="{01C081EB-549A-40E7-B616-35FBBB26D1DC}"/>
    <cellStyle name="20% - Accent5 2 2 4 4" xfId="9590" xr:uid="{0902060D-97C7-4DCC-B3DE-4CC8188B815C}"/>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FF9EF303-37EA-43D5-AC36-390C5059D49B}"/>
    <cellStyle name="20% - Accent5 2 2 5 2 3" xfId="12148" xr:uid="{110C20E3-7945-4A78-831A-4BDCEFE63645}"/>
    <cellStyle name="20% - Accent5 2 2 5 3" xfId="5779" xr:uid="{00000000-0005-0000-0000-0000A3020000}"/>
    <cellStyle name="20% - Accent5 2 2 5 3 2" xfId="14221" xr:uid="{BA22CAF6-6E83-4B40-AC8C-89E77AD30D42}"/>
    <cellStyle name="20% - Accent5 2 2 5 4" xfId="10003" xr:uid="{6C0B70E3-2ACC-4DA3-B1A0-5A68144D86B6}"/>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5B397722-DE42-4BEB-BC48-A622385A9509}"/>
    <cellStyle name="20% - Accent5 2 2 6 2 3" xfId="12561" xr:uid="{79CB0B14-2D55-4415-9E81-06910FF40259}"/>
    <cellStyle name="20% - Accent5 2 2 6 3" xfId="6192" xr:uid="{00000000-0005-0000-0000-0000A7020000}"/>
    <cellStyle name="20% - Accent5 2 2 6 3 2" xfId="14634" xr:uid="{43D53830-B343-4184-9AA1-78F285AFA998}"/>
    <cellStyle name="20% - Accent5 2 2 6 4" xfId="10416" xr:uid="{54627647-2B77-4BF5-98D2-F5713DF9F278}"/>
    <cellStyle name="20% - Accent5 2 2 7" xfId="2298" xr:uid="{00000000-0005-0000-0000-0000A8020000}"/>
    <cellStyle name="20% - Accent5 2 2 7 2" xfId="6605" xr:uid="{00000000-0005-0000-0000-0000A9020000}"/>
    <cellStyle name="20% - Accent5 2 2 7 2 2" xfId="15047" xr:uid="{B0DB4788-81E6-4B28-AC80-14CD27FA3A54}"/>
    <cellStyle name="20% - Accent5 2 2 7 3" xfId="10829" xr:uid="{CE2DFA9C-1A78-4B0C-8038-A3350E0FFAC5}"/>
    <cellStyle name="20% - Accent5 2 2 8" xfId="4539" xr:uid="{00000000-0005-0000-0000-0000AA020000}"/>
    <cellStyle name="20% - Accent5 2 2 8 2" xfId="12981" xr:uid="{DDA12F18-272B-4078-9CE4-63326D207CD4}"/>
    <cellStyle name="20% - Accent5 2 2 9" xfId="8763" xr:uid="{155E5AA1-5310-4D83-A2F3-5498D58B24C3}"/>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D4A359D8-1A8B-492A-8FA7-414217C599DC}"/>
    <cellStyle name="20% - Accent5 2 3 2 2 3" xfId="11324" xr:uid="{0BE9BDD8-539D-438D-91C0-5FD5857DBE19}"/>
    <cellStyle name="20% - Accent5 2 3 2 3" xfId="4955" xr:uid="{00000000-0005-0000-0000-0000AF020000}"/>
    <cellStyle name="20% - Accent5 2 3 2 3 2" xfId="13397" xr:uid="{D978852F-D6AE-4780-B23A-FFD49B32C75F}"/>
    <cellStyle name="20% - Accent5 2 3 2 4" xfId="9179" xr:uid="{D99BC763-3801-4BBB-9464-C073BE32C5D9}"/>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63ADDDD4-63EC-4C2B-90F6-4266A17754B6}"/>
    <cellStyle name="20% - Accent5 2 3 3 2 3" xfId="11737" xr:uid="{EB821855-5C75-4399-BB36-1DD128F3E020}"/>
    <cellStyle name="20% - Accent5 2 3 3 3" xfId="5368" xr:uid="{00000000-0005-0000-0000-0000B3020000}"/>
    <cellStyle name="20% - Accent5 2 3 3 3 2" xfId="13810" xr:uid="{A5310A6B-C389-46FA-A71D-2967830E133A}"/>
    <cellStyle name="20% - Accent5 2 3 3 4" xfId="9592" xr:uid="{543E289D-3A68-4BFD-AEE8-7EB1BA72348B}"/>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37D2A746-0F84-4F9C-A941-7DB4C38BDB26}"/>
    <cellStyle name="20% - Accent5 2 3 4 2 3" xfId="12150" xr:uid="{6B36278E-7312-49F8-9672-43FD05CD32F3}"/>
    <cellStyle name="20% - Accent5 2 3 4 3" xfId="5781" xr:uid="{00000000-0005-0000-0000-0000B7020000}"/>
    <cellStyle name="20% - Accent5 2 3 4 3 2" xfId="14223" xr:uid="{19BB4F44-BD21-4842-9809-81EE61D2F3FF}"/>
    <cellStyle name="20% - Accent5 2 3 4 4" xfId="10005" xr:uid="{8576F06C-1DEE-4061-8EB5-67C11EB50861}"/>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3304A15B-CD26-49AB-924D-AB1A626BFC6B}"/>
    <cellStyle name="20% - Accent5 2 3 5 2 3" xfId="12563" xr:uid="{CDC0B933-8BEE-4715-8DCE-3D669BCBA753}"/>
    <cellStyle name="20% - Accent5 2 3 5 3" xfId="6194" xr:uid="{00000000-0005-0000-0000-0000BB020000}"/>
    <cellStyle name="20% - Accent5 2 3 5 3 2" xfId="14636" xr:uid="{39D0EB76-C77C-4EAB-809A-33D9F7911942}"/>
    <cellStyle name="20% - Accent5 2 3 5 4" xfId="10418" xr:uid="{BF553BC1-BCB4-4E0B-AF50-35AC9C49E93A}"/>
    <cellStyle name="20% - Accent5 2 3 6" xfId="2300" xr:uid="{00000000-0005-0000-0000-0000BC020000}"/>
    <cellStyle name="20% - Accent5 2 3 6 2" xfId="6607" xr:uid="{00000000-0005-0000-0000-0000BD020000}"/>
    <cellStyle name="20% - Accent5 2 3 6 2 2" xfId="15049" xr:uid="{3136D6B0-DAB4-49C7-AB0D-03FCAF142774}"/>
    <cellStyle name="20% - Accent5 2 3 6 3" xfId="10831" xr:uid="{B6E26D2F-AD7A-4A0C-AFD3-4251657DC7F8}"/>
    <cellStyle name="20% - Accent5 2 3 7" xfId="4541" xr:uid="{00000000-0005-0000-0000-0000BE020000}"/>
    <cellStyle name="20% - Accent5 2 3 7 2" xfId="12983" xr:uid="{7BBBBF30-E84E-41F9-BA04-2B0145C07EA1}"/>
    <cellStyle name="20% - Accent5 2 3 8" xfId="8765" xr:uid="{988C39B9-7668-4068-B795-4DEDF8A30049}"/>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FABD7246-6C72-41B6-9C41-F3541F8FE102}"/>
    <cellStyle name="20% - Accent5 2 4 2 3" xfId="11321" xr:uid="{F0E09A8E-922F-4768-BAA6-08A816461CE4}"/>
    <cellStyle name="20% - Accent5 2 4 3" xfId="4952" xr:uid="{00000000-0005-0000-0000-0000C2020000}"/>
    <cellStyle name="20% - Accent5 2 4 3 2" xfId="13394" xr:uid="{E42AA5A5-02C6-4322-A952-9A5D2DB99FCC}"/>
    <cellStyle name="20% - Accent5 2 4 4" xfId="9176" xr:uid="{BE7E9FCC-792B-490C-AEA8-C06EACBAE589}"/>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AAA973EF-A2FE-4E9F-95F7-B9D85B073FC3}"/>
    <cellStyle name="20% - Accent5 2 5 2 3" xfId="11734" xr:uid="{CF3FEE10-03A0-46C3-9319-495CC83EE8CC}"/>
    <cellStyle name="20% - Accent5 2 5 3" xfId="5365" xr:uid="{00000000-0005-0000-0000-0000C6020000}"/>
    <cellStyle name="20% - Accent5 2 5 3 2" xfId="13807" xr:uid="{9CEA14DF-48DB-459E-9BBB-E43C14EA5058}"/>
    <cellStyle name="20% - Accent5 2 5 4" xfId="9589" xr:uid="{906B45D1-1DDB-4147-88B6-F0D9A11A95E1}"/>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47A6818B-FA45-4BDA-B248-7A21B7CC7509}"/>
    <cellStyle name="20% - Accent5 2 6 2 3" xfId="12147" xr:uid="{180D0D55-A3E1-454F-A503-C044F26C9782}"/>
    <cellStyle name="20% - Accent5 2 6 3" xfId="5778" xr:uid="{00000000-0005-0000-0000-0000CA020000}"/>
    <cellStyle name="20% - Accent5 2 6 3 2" xfId="14220" xr:uid="{3B4F7E2E-CE42-423A-A90A-4A3897449B52}"/>
    <cellStyle name="20% - Accent5 2 6 4" xfId="10002" xr:uid="{CA36440F-F6B1-488F-9306-39ABFE3F6A38}"/>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BAF7DCE7-80D6-4782-8C48-2A7CEEC13F4B}"/>
    <cellStyle name="20% - Accent5 2 7 2 3" xfId="12560" xr:uid="{B4E63146-A78C-4F10-9026-75A307E59913}"/>
    <cellStyle name="20% - Accent5 2 7 3" xfId="6191" xr:uid="{00000000-0005-0000-0000-0000CE020000}"/>
    <cellStyle name="20% - Accent5 2 7 3 2" xfId="14633" xr:uid="{56B06E44-F2FB-42BF-8DC2-E1885A3273BC}"/>
    <cellStyle name="20% - Accent5 2 7 4" xfId="10415" xr:uid="{6770A4B0-9331-4572-8DF4-90B45E7ABA5C}"/>
    <cellStyle name="20% - Accent5 2 8" xfId="2297" xr:uid="{00000000-0005-0000-0000-0000CF020000}"/>
    <cellStyle name="20% - Accent5 2 8 2" xfId="6604" xr:uid="{00000000-0005-0000-0000-0000D0020000}"/>
    <cellStyle name="20% - Accent5 2 8 2 2" xfId="15046" xr:uid="{616FE2A1-F9DB-4613-9739-82DEE03182A4}"/>
    <cellStyle name="20% - Accent5 2 8 3" xfId="10828" xr:uid="{BD012D6B-3239-4DA6-A285-5D599D3C87AA}"/>
    <cellStyle name="20% - Accent5 2 9" xfId="4538" xr:uid="{00000000-0005-0000-0000-0000D1020000}"/>
    <cellStyle name="20% - Accent5 2 9 2" xfId="12980" xr:uid="{C6712080-DCE6-4E62-A913-0039D44C4A97}"/>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A843162F-508A-436E-AB78-A31D45E08481}"/>
    <cellStyle name="20% - Accent5 3 2 2 2 3" xfId="11326" xr:uid="{C9B654A6-E037-4C5C-A39C-6CF9B87BCD27}"/>
    <cellStyle name="20% - Accent5 3 2 2 3" xfId="4957" xr:uid="{00000000-0005-0000-0000-0000D7020000}"/>
    <cellStyle name="20% - Accent5 3 2 2 3 2" xfId="13399" xr:uid="{2CF6C477-DB44-4B9B-BD4D-A9411A7AEAEB}"/>
    <cellStyle name="20% - Accent5 3 2 2 4" xfId="9181" xr:uid="{21211AA3-289C-464D-A726-192D695E4828}"/>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5DBC19B9-3E4F-438D-8465-E823A2B8ED29}"/>
    <cellStyle name="20% - Accent5 3 2 3 2 3" xfId="11739" xr:uid="{6A0FE62A-E47C-48FC-AE13-20047DDD112E}"/>
    <cellStyle name="20% - Accent5 3 2 3 3" xfId="5370" xr:uid="{00000000-0005-0000-0000-0000DB020000}"/>
    <cellStyle name="20% - Accent5 3 2 3 3 2" xfId="13812" xr:uid="{9575F104-34C6-4D02-9B72-E0D5A4C8E2E3}"/>
    <cellStyle name="20% - Accent5 3 2 3 4" xfId="9594" xr:uid="{45F1D10D-629F-4E7B-B86A-F858BE631912}"/>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E2F973A7-0716-47A1-A5B5-2637A212D587}"/>
    <cellStyle name="20% - Accent5 3 2 4 2 3" xfId="12152" xr:uid="{57AE4A4D-80EF-4A15-AF43-B4A480F77ADF}"/>
    <cellStyle name="20% - Accent5 3 2 4 3" xfId="5783" xr:uid="{00000000-0005-0000-0000-0000DF020000}"/>
    <cellStyle name="20% - Accent5 3 2 4 3 2" xfId="14225" xr:uid="{DAA27571-6C78-420B-9F10-931ECF73234E}"/>
    <cellStyle name="20% - Accent5 3 2 4 4" xfId="10007" xr:uid="{3CC3C8FD-7CE2-44E7-A1FC-D0AA00345AE7}"/>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D6DF93E8-2510-46F2-81A3-324F1CC88699}"/>
    <cellStyle name="20% - Accent5 3 2 5 2 3" xfId="12565" xr:uid="{B8DFB4FE-4E60-4813-AA48-404075D442E7}"/>
    <cellStyle name="20% - Accent5 3 2 5 3" xfId="6196" xr:uid="{00000000-0005-0000-0000-0000E3020000}"/>
    <cellStyle name="20% - Accent5 3 2 5 3 2" xfId="14638" xr:uid="{7356CE60-2317-4806-9034-78D0C9FB7A12}"/>
    <cellStyle name="20% - Accent5 3 2 5 4" xfId="10420" xr:uid="{3D965305-5F7B-4D35-A5B2-E6D7DDB2FA1A}"/>
    <cellStyle name="20% - Accent5 3 2 6" xfId="2302" xr:uid="{00000000-0005-0000-0000-0000E4020000}"/>
    <cellStyle name="20% - Accent5 3 2 6 2" xfId="6609" xr:uid="{00000000-0005-0000-0000-0000E5020000}"/>
    <cellStyle name="20% - Accent5 3 2 6 2 2" xfId="15051" xr:uid="{B0F68B81-D695-46B6-8D6E-FCF54A7C7BCB}"/>
    <cellStyle name="20% - Accent5 3 2 6 3" xfId="10833" xr:uid="{559E883C-BFD6-48EE-A883-14D572BB3020}"/>
    <cellStyle name="20% - Accent5 3 2 7" xfId="4543" xr:uid="{00000000-0005-0000-0000-0000E6020000}"/>
    <cellStyle name="20% - Accent5 3 2 7 2" xfId="12985" xr:uid="{F1756D4E-E8CF-4491-81C8-31917757384E}"/>
    <cellStyle name="20% - Accent5 3 2 8" xfId="8767" xr:uid="{E7372C1A-3F94-4177-A6AB-66428C9E5F6B}"/>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652E75F6-5079-4BDA-932F-7C7B0DB1BB8D}"/>
    <cellStyle name="20% - Accent5 3 3 2 3" xfId="11325" xr:uid="{C049BD37-BA29-4FDF-85FC-6B1FEC0A8A3F}"/>
    <cellStyle name="20% - Accent5 3 3 3" xfId="4956" xr:uid="{00000000-0005-0000-0000-0000EA020000}"/>
    <cellStyle name="20% - Accent5 3 3 3 2" xfId="13398" xr:uid="{81BB9E98-9761-408B-A5D1-C170D096E762}"/>
    <cellStyle name="20% - Accent5 3 3 4" xfId="9180" xr:uid="{2F7E2E1F-94C7-4E77-8F1A-8781EE3216D2}"/>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E68D9BA6-2E42-4A48-B636-A433C3DD62EB}"/>
    <cellStyle name="20% - Accent5 3 4 2 3" xfId="11738" xr:uid="{7191C5AE-7E50-45C5-AE85-3EB26958BB57}"/>
    <cellStyle name="20% - Accent5 3 4 3" xfId="5369" xr:uid="{00000000-0005-0000-0000-0000EE020000}"/>
    <cellStyle name="20% - Accent5 3 4 3 2" xfId="13811" xr:uid="{C5F49173-E933-47D2-8301-402BC48CFA7C}"/>
    <cellStyle name="20% - Accent5 3 4 4" xfId="9593" xr:uid="{502A1A9C-DF35-4C9E-AA07-5B8874CAE323}"/>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C2F9A0E2-CCF8-42FA-A87E-D4DEE08C5508}"/>
    <cellStyle name="20% - Accent5 3 5 2 3" xfId="12151" xr:uid="{0B39A028-0CE9-40D3-B57D-145D3F7F3A59}"/>
    <cellStyle name="20% - Accent5 3 5 3" xfId="5782" xr:uid="{00000000-0005-0000-0000-0000F2020000}"/>
    <cellStyle name="20% - Accent5 3 5 3 2" xfId="14224" xr:uid="{9A4919C0-976C-479B-B84A-933E4C05FA3C}"/>
    <cellStyle name="20% - Accent5 3 5 4" xfId="10006" xr:uid="{E3D86DF1-6D63-4D90-B144-DD4748C2893A}"/>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421FE7DC-A94F-4645-AC24-F3D19BF34DB4}"/>
    <cellStyle name="20% - Accent5 3 6 2 3" xfId="12564" xr:uid="{786CCB78-7964-4F16-8C10-EEC83223F792}"/>
    <cellStyle name="20% - Accent5 3 6 3" xfId="6195" xr:uid="{00000000-0005-0000-0000-0000F6020000}"/>
    <cellStyle name="20% - Accent5 3 6 3 2" xfId="14637" xr:uid="{4DD4BA3A-3464-4903-9BA1-6CEC4C9EF44A}"/>
    <cellStyle name="20% - Accent5 3 6 4" xfId="10419" xr:uid="{B9F2E242-4D5F-420E-B619-3BDC6EB6DFF3}"/>
    <cellStyle name="20% - Accent5 3 7" xfId="2301" xr:uid="{00000000-0005-0000-0000-0000F7020000}"/>
    <cellStyle name="20% - Accent5 3 7 2" xfId="6608" xr:uid="{00000000-0005-0000-0000-0000F8020000}"/>
    <cellStyle name="20% - Accent5 3 7 2 2" xfId="15050" xr:uid="{EAF814F6-497E-4E69-AEE8-88E93BCF7A04}"/>
    <cellStyle name="20% - Accent5 3 7 3" xfId="10832" xr:uid="{8CA1FD3B-FD70-48B3-99AC-DBEA562ACC20}"/>
    <cellStyle name="20% - Accent5 3 8" xfId="4542" xr:uid="{00000000-0005-0000-0000-0000F9020000}"/>
    <cellStyle name="20% - Accent5 3 8 2" xfId="12984" xr:uid="{8573572E-2CB6-4A84-A4A6-1D3BC380B888}"/>
    <cellStyle name="20% - Accent5 3 9" xfId="8766" xr:uid="{6A1CC03F-210D-4898-BC4B-F26B7A491255}"/>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2E0A0124-978E-4A70-8DCD-F41DE12301EF}"/>
    <cellStyle name="20% - Accent5 4 2 2 3" xfId="11327" xr:uid="{5653BF8E-6E3A-4616-A90E-EB1C7F2EB340}"/>
    <cellStyle name="20% - Accent5 4 2 3" xfId="4958" xr:uid="{00000000-0005-0000-0000-0000FE020000}"/>
    <cellStyle name="20% - Accent5 4 2 3 2" xfId="13400" xr:uid="{B82AFD16-C628-42E7-ABA8-90122A203C17}"/>
    <cellStyle name="20% - Accent5 4 2 4" xfId="9182" xr:uid="{EEE7CDA9-4E75-474C-8119-BD11EC0983FB}"/>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2B738EEF-0F45-4B38-8F35-E73BA21F8D23}"/>
    <cellStyle name="20% - Accent5 4 3 2 3" xfId="11740" xr:uid="{7730F7B9-5847-40CA-BAC5-76B8DB9C85D1}"/>
    <cellStyle name="20% - Accent5 4 3 3" xfId="5371" xr:uid="{00000000-0005-0000-0000-000002030000}"/>
    <cellStyle name="20% - Accent5 4 3 3 2" xfId="13813" xr:uid="{EEB371D3-CD58-46F6-AEAE-C68C1945F1FE}"/>
    <cellStyle name="20% - Accent5 4 3 4" xfId="9595" xr:uid="{13F78339-63D6-4DB5-BE90-69AEE237A56A}"/>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46CE5C80-FDAC-46AA-B9A3-0D3369C3D10F}"/>
    <cellStyle name="20% - Accent5 4 4 2 3" xfId="12153" xr:uid="{80E2036D-648B-48FF-A311-F1AD81A6843C}"/>
    <cellStyle name="20% - Accent5 4 4 3" xfId="5784" xr:uid="{00000000-0005-0000-0000-000006030000}"/>
    <cellStyle name="20% - Accent5 4 4 3 2" xfId="14226" xr:uid="{8404EAB3-3D3B-4DAF-AB63-A62D1B718399}"/>
    <cellStyle name="20% - Accent5 4 4 4" xfId="10008" xr:uid="{F8B0C167-61DE-4754-8AC2-CE5B1A527A15}"/>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006B1AC3-39BE-4EB5-8044-B7A558A8B55F}"/>
    <cellStyle name="20% - Accent5 4 5 2 3" xfId="12566" xr:uid="{5E6078A1-3D30-45B0-99CC-066D42B2DF3F}"/>
    <cellStyle name="20% - Accent5 4 5 3" xfId="6197" xr:uid="{00000000-0005-0000-0000-00000A030000}"/>
    <cellStyle name="20% - Accent5 4 5 3 2" xfId="14639" xr:uid="{FCD8975D-7A5F-410B-A7DD-231A96426FE5}"/>
    <cellStyle name="20% - Accent5 4 5 4" xfId="10421" xr:uid="{5466B1DB-1485-4C2E-A812-AFA6D106EB47}"/>
    <cellStyle name="20% - Accent5 4 6" xfId="2303" xr:uid="{00000000-0005-0000-0000-00000B030000}"/>
    <cellStyle name="20% - Accent5 4 6 2" xfId="6610" xr:uid="{00000000-0005-0000-0000-00000C030000}"/>
    <cellStyle name="20% - Accent5 4 6 2 2" xfId="15052" xr:uid="{1901824D-2987-4EBC-A290-8454FAF40D3C}"/>
    <cellStyle name="20% - Accent5 4 6 3" xfId="10834" xr:uid="{4ACD62B2-EF7B-4615-8F6C-2FB2E3A9B84C}"/>
    <cellStyle name="20% - Accent5 4 7" xfId="4544" xr:uid="{00000000-0005-0000-0000-00000D030000}"/>
    <cellStyle name="20% - Accent5 4 7 2" xfId="12986" xr:uid="{20B53BDF-1D1C-42FE-8BB0-39EAEF911E18}"/>
    <cellStyle name="20% - Accent5 4 8" xfId="8768" xr:uid="{E7BB785F-377D-4C9D-A076-6FC11E76CCC4}"/>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0BC3EE58-4D70-4AB6-90D9-086B62B391D8}"/>
    <cellStyle name="20% - Accent5 5 2 3" xfId="11320" xr:uid="{87A36DEE-6A11-42AF-A8DF-6C3791746FAE}"/>
    <cellStyle name="20% - Accent5 5 3" xfId="4951" xr:uid="{00000000-0005-0000-0000-000011030000}"/>
    <cellStyle name="20% - Accent5 5 3 2" xfId="13393" xr:uid="{9B6D444E-E22B-4AB7-857F-E3C760B3EB6A}"/>
    <cellStyle name="20% - Accent5 5 4" xfId="9175" xr:uid="{17D149E3-8655-446A-B3BE-C4EFF4CF83C9}"/>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BFE0BD62-28C6-4843-B233-878953F42C75}"/>
    <cellStyle name="20% - Accent5 6 2 3" xfId="11733" xr:uid="{91564505-FB07-4685-B914-543E9B978A32}"/>
    <cellStyle name="20% - Accent5 6 3" xfId="5364" xr:uid="{00000000-0005-0000-0000-000015030000}"/>
    <cellStyle name="20% - Accent5 6 3 2" xfId="13806" xr:uid="{82DD3E58-06F7-4E6C-BDB2-85CA0FEBCC49}"/>
    <cellStyle name="20% - Accent5 6 4" xfId="9588" xr:uid="{7A75F6B1-1547-4F7F-925E-8EAE3B685F8E}"/>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5C7F9F8E-29FF-43F9-9C03-FE424119D580}"/>
    <cellStyle name="20% - Accent5 7 2 3" xfId="12146" xr:uid="{AA477CC7-88A2-4BA7-AF26-2E5629D44407}"/>
    <cellStyle name="20% - Accent5 7 3" xfId="5777" xr:uid="{00000000-0005-0000-0000-000019030000}"/>
    <cellStyle name="20% - Accent5 7 3 2" xfId="14219" xr:uid="{8A551040-71F7-4839-B2AE-420AABF28073}"/>
    <cellStyle name="20% - Accent5 7 4" xfId="10001" xr:uid="{EFB39EBB-982F-479E-A40F-C6C3427BB620}"/>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32AC3023-4CB8-4603-8132-0EF5BFDAC2EA}"/>
    <cellStyle name="20% - Accent5 8 2 3" xfId="12559" xr:uid="{FD294E19-70ED-426C-8C3C-621C467CCF7D}"/>
    <cellStyle name="20% - Accent5 8 3" xfId="6190" xr:uid="{00000000-0005-0000-0000-00001D030000}"/>
    <cellStyle name="20% - Accent5 8 3 2" xfId="14632" xr:uid="{B5064747-7AAD-497E-B35A-43571AAEF6F6}"/>
    <cellStyle name="20% - Accent5 8 4" xfId="10414" xr:uid="{622521B0-86BD-48F7-8B35-59B2D6F93F32}"/>
    <cellStyle name="20% - Accent5 9" xfId="2296" xr:uid="{00000000-0005-0000-0000-00001E030000}"/>
    <cellStyle name="20% - Accent5 9 2" xfId="6603" xr:uid="{00000000-0005-0000-0000-00001F030000}"/>
    <cellStyle name="20% - Accent5 9 2 2" xfId="15045" xr:uid="{D97E298C-90C5-47E2-9E88-511D13249CE6}"/>
    <cellStyle name="20% - Accent5 9 3" xfId="10827" xr:uid="{FA1BCB2C-D2C7-49FF-B746-00C1515D8B81}"/>
    <cellStyle name="20% - Accent6" xfId="41" builtinId="50" customBuiltin="1"/>
    <cellStyle name="20% - Accent6 10" xfId="4545" xr:uid="{00000000-0005-0000-0000-000021030000}"/>
    <cellStyle name="20% - Accent6 10 2" xfId="12987" xr:uid="{6379CF4A-40F8-4FA8-BCD7-D2C4C4F9BA11}"/>
    <cellStyle name="20% - Accent6 11" xfId="8769" xr:uid="{5BC7313B-763F-40B9-9794-52E8A35B56EB}"/>
    <cellStyle name="20% - Accent6 2" xfId="42" xr:uid="{00000000-0005-0000-0000-000022030000}"/>
    <cellStyle name="20% - Accent6 2 10" xfId="8770" xr:uid="{06525A66-94A6-4670-9FB2-5476C3C0F469}"/>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F90904BF-0324-485F-A6C5-6E90DA8CAC4C}"/>
    <cellStyle name="20% - Accent6 2 2 2 2 2 3" xfId="11331" xr:uid="{D8250FFA-16BB-483C-A4E9-B29E65EE394A}"/>
    <cellStyle name="20% - Accent6 2 2 2 2 3" xfId="4962" xr:uid="{00000000-0005-0000-0000-000028030000}"/>
    <cellStyle name="20% - Accent6 2 2 2 2 3 2" xfId="13404" xr:uid="{534FDECF-D341-4A3B-9868-BFEE14DBA2CA}"/>
    <cellStyle name="20% - Accent6 2 2 2 2 4" xfId="9186" xr:uid="{3EC28E78-8464-4AA6-8D5F-F5010517AA24}"/>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5F3DAFCD-D6CC-4749-BFE2-FBF4AD5E6499}"/>
    <cellStyle name="20% - Accent6 2 2 2 3 2 3" xfId="11744" xr:uid="{7A6ACB24-2822-4756-AE00-BB1C75059006}"/>
    <cellStyle name="20% - Accent6 2 2 2 3 3" xfId="5375" xr:uid="{00000000-0005-0000-0000-00002C030000}"/>
    <cellStyle name="20% - Accent6 2 2 2 3 3 2" xfId="13817" xr:uid="{27B1BC2E-948C-418B-B131-5D1495037F49}"/>
    <cellStyle name="20% - Accent6 2 2 2 3 4" xfId="9599" xr:uid="{E1139178-F908-493D-9CBA-CA7011D46E2D}"/>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719B49B6-4E3A-4ADA-A341-505D9043CB4E}"/>
    <cellStyle name="20% - Accent6 2 2 2 4 2 3" xfId="12157" xr:uid="{AE274E84-63A7-4EA4-86A6-6A41BDA80A75}"/>
    <cellStyle name="20% - Accent6 2 2 2 4 3" xfId="5788" xr:uid="{00000000-0005-0000-0000-000030030000}"/>
    <cellStyle name="20% - Accent6 2 2 2 4 3 2" xfId="14230" xr:uid="{5416AE1E-B340-4D76-AD58-A26408277467}"/>
    <cellStyle name="20% - Accent6 2 2 2 4 4" xfId="10012" xr:uid="{D18E1378-E6B2-4876-99EB-7C43474199F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DF202475-124C-444D-AA99-C2C2061C30F8}"/>
    <cellStyle name="20% - Accent6 2 2 2 5 2 3" xfId="12570" xr:uid="{D93436CE-126F-492E-A048-CF76AF194D48}"/>
    <cellStyle name="20% - Accent6 2 2 2 5 3" xfId="6201" xr:uid="{00000000-0005-0000-0000-000034030000}"/>
    <cellStyle name="20% - Accent6 2 2 2 5 3 2" xfId="14643" xr:uid="{8661C45A-998E-4B7D-AA71-93E221B37982}"/>
    <cellStyle name="20% - Accent6 2 2 2 5 4" xfId="10425" xr:uid="{D9334696-3C2F-42F3-B5B9-C41071930C6A}"/>
    <cellStyle name="20% - Accent6 2 2 2 6" xfId="2307" xr:uid="{00000000-0005-0000-0000-000035030000}"/>
    <cellStyle name="20% - Accent6 2 2 2 6 2" xfId="6614" xr:uid="{00000000-0005-0000-0000-000036030000}"/>
    <cellStyle name="20% - Accent6 2 2 2 6 2 2" xfId="15056" xr:uid="{38B2CB41-7E02-493D-8FA2-E3987D80E517}"/>
    <cellStyle name="20% - Accent6 2 2 2 6 3" xfId="10838" xr:uid="{0F9B61F0-0371-451C-B553-7E9B78212B8A}"/>
    <cellStyle name="20% - Accent6 2 2 2 7" xfId="4548" xr:uid="{00000000-0005-0000-0000-000037030000}"/>
    <cellStyle name="20% - Accent6 2 2 2 7 2" xfId="12990" xr:uid="{0A817B5A-D0A8-4012-8985-3ABEFB108CEA}"/>
    <cellStyle name="20% - Accent6 2 2 2 8" xfId="8772" xr:uid="{DC0A0107-4F7E-4C4A-9055-F457934247ED}"/>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F7336D1E-E71D-4212-B74C-9E61F483D526}"/>
    <cellStyle name="20% - Accent6 2 2 3 2 3" xfId="11330" xr:uid="{CE33FCD1-C134-435A-B28B-845C07A50980}"/>
    <cellStyle name="20% - Accent6 2 2 3 3" xfId="4961" xr:uid="{00000000-0005-0000-0000-00003B030000}"/>
    <cellStyle name="20% - Accent6 2 2 3 3 2" xfId="13403" xr:uid="{C7E8A669-6106-47D5-A73B-9C7662A48B19}"/>
    <cellStyle name="20% - Accent6 2 2 3 4" xfId="9185" xr:uid="{C11CCEF0-22A1-4076-A352-10B65D32A415}"/>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FA0DFAFC-F272-457D-8D23-0F371894CD20}"/>
    <cellStyle name="20% - Accent6 2 2 4 2 3" xfId="11743" xr:uid="{EEBFCAF7-E516-45F8-9F53-63A16E8166BB}"/>
    <cellStyle name="20% - Accent6 2 2 4 3" xfId="5374" xr:uid="{00000000-0005-0000-0000-00003F030000}"/>
    <cellStyle name="20% - Accent6 2 2 4 3 2" xfId="13816" xr:uid="{4FBF9F76-7CF5-49FD-879D-4AE035A28E30}"/>
    <cellStyle name="20% - Accent6 2 2 4 4" xfId="9598" xr:uid="{84C4BA94-E4AF-4A27-BD09-B92F75E2C51D}"/>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44DA61E9-90ED-4B16-ADCA-22A83F302F20}"/>
    <cellStyle name="20% - Accent6 2 2 5 2 3" xfId="12156" xr:uid="{600C21A8-271F-45B3-8C90-327C8ED23C89}"/>
    <cellStyle name="20% - Accent6 2 2 5 3" xfId="5787" xr:uid="{00000000-0005-0000-0000-000043030000}"/>
    <cellStyle name="20% - Accent6 2 2 5 3 2" xfId="14229" xr:uid="{7539379F-B28D-4792-81F0-8B9B465EF591}"/>
    <cellStyle name="20% - Accent6 2 2 5 4" xfId="10011" xr:uid="{4E88DF80-BFA4-469B-99D4-97A15B6AA4ED}"/>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17CBCA68-428F-4D46-AF52-2F6B04BFA841}"/>
    <cellStyle name="20% - Accent6 2 2 6 2 3" xfId="12569" xr:uid="{2B10538E-43C6-4797-AF08-2A4C0E85E8F1}"/>
    <cellStyle name="20% - Accent6 2 2 6 3" xfId="6200" xr:uid="{00000000-0005-0000-0000-000047030000}"/>
    <cellStyle name="20% - Accent6 2 2 6 3 2" xfId="14642" xr:uid="{0D229379-858A-46B5-89A5-F53514C8B78E}"/>
    <cellStyle name="20% - Accent6 2 2 6 4" xfId="10424" xr:uid="{31E3598C-FB08-4222-971E-68751F78C7B3}"/>
    <cellStyle name="20% - Accent6 2 2 7" xfId="2306" xr:uid="{00000000-0005-0000-0000-000048030000}"/>
    <cellStyle name="20% - Accent6 2 2 7 2" xfId="6613" xr:uid="{00000000-0005-0000-0000-000049030000}"/>
    <cellStyle name="20% - Accent6 2 2 7 2 2" xfId="15055" xr:uid="{FC6DFF65-8104-41DF-B39D-FF6F702C43C4}"/>
    <cellStyle name="20% - Accent6 2 2 7 3" xfId="10837" xr:uid="{26350704-D84A-45A2-9E89-59F22988B7CF}"/>
    <cellStyle name="20% - Accent6 2 2 8" xfId="4547" xr:uid="{00000000-0005-0000-0000-00004A030000}"/>
    <cellStyle name="20% - Accent6 2 2 8 2" xfId="12989" xr:uid="{FD881C57-8F42-4998-9A45-E26891714159}"/>
    <cellStyle name="20% - Accent6 2 2 9" xfId="8771" xr:uid="{93ED3101-D715-47D4-BCB2-F880353F820E}"/>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102125F2-68B2-45A4-B6BD-94BB3F2A65D7}"/>
    <cellStyle name="20% - Accent6 2 3 2 2 3" xfId="11332" xr:uid="{1FB4283E-6983-4D47-A548-26E2EAB07400}"/>
    <cellStyle name="20% - Accent6 2 3 2 3" xfId="4963" xr:uid="{00000000-0005-0000-0000-00004F030000}"/>
    <cellStyle name="20% - Accent6 2 3 2 3 2" xfId="13405" xr:uid="{BAE5BA35-FE25-4620-AC8E-2501A8236E8C}"/>
    <cellStyle name="20% - Accent6 2 3 2 4" xfId="9187" xr:uid="{09DE615F-0589-41FC-BC40-540974898CA7}"/>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55C215CA-6409-4E92-BDE6-F0F4D0803602}"/>
    <cellStyle name="20% - Accent6 2 3 3 2 3" xfId="11745" xr:uid="{276C5165-A098-401C-91A6-6F6790711602}"/>
    <cellStyle name="20% - Accent6 2 3 3 3" xfId="5376" xr:uid="{00000000-0005-0000-0000-000053030000}"/>
    <cellStyle name="20% - Accent6 2 3 3 3 2" xfId="13818" xr:uid="{758A70E3-D59B-4996-AD3E-AFBB1969188B}"/>
    <cellStyle name="20% - Accent6 2 3 3 4" xfId="9600" xr:uid="{FB107C2A-FD83-43AC-A345-851489D3DF7B}"/>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E0FB7A92-C7F1-4E5A-A546-85AEA014874D}"/>
    <cellStyle name="20% - Accent6 2 3 4 2 3" xfId="12158" xr:uid="{65FC65A6-28F9-4DA2-A6A9-5AD33E47F04A}"/>
    <cellStyle name="20% - Accent6 2 3 4 3" xfId="5789" xr:uid="{00000000-0005-0000-0000-000057030000}"/>
    <cellStyle name="20% - Accent6 2 3 4 3 2" xfId="14231" xr:uid="{1D5AC01C-3043-46C0-A6B6-93CD131C4DF6}"/>
    <cellStyle name="20% - Accent6 2 3 4 4" xfId="10013" xr:uid="{3869EC41-2ADE-4115-97F7-62FC3EEF95C4}"/>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0C454D00-B194-4FCC-A7AD-5266A7B84040}"/>
    <cellStyle name="20% - Accent6 2 3 5 2 3" xfId="12571" xr:uid="{2E075B89-26D7-4018-B419-FAC7ACB6649A}"/>
    <cellStyle name="20% - Accent6 2 3 5 3" xfId="6202" xr:uid="{00000000-0005-0000-0000-00005B030000}"/>
    <cellStyle name="20% - Accent6 2 3 5 3 2" xfId="14644" xr:uid="{3E27CB6A-2E58-4B25-8C9E-AAAF4F48A697}"/>
    <cellStyle name="20% - Accent6 2 3 5 4" xfId="10426" xr:uid="{8BDC28EF-34C8-4AFE-BDA1-2BF495CA0E74}"/>
    <cellStyle name="20% - Accent6 2 3 6" xfId="2308" xr:uid="{00000000-0005-0000-0000-00005C030000}"/>
    <cellStyle name="20% - Accent6 2 3 6 2" xfId="6615" xr:uid="{00000000-0005-0000-0000-00005D030000}"/>
    <cellStyle name="20% - Accent6 2 3 6 2 2" xfId="15057" xr:uid="{7FE3CEDF-DC2B-4E48-8111-B9B00E3EF54A}"/>
    <cellStyle name="20% - Accent6 2 3 6 3" xfId="10839" xr:uid="{A04EF1E3-BF53-4E93-8A87-AB1886741062}"/>
    <cellStyle name="20% - Accent6 2 3 7" xfId="4549" xr:uid="{00000000-0005-0000-0000-00005E030000}"/>
    <cellStyle name="20% - Accent6 2 3 7 2" xfId="12991" xr:uid="{82D387D3-9BBE-4471-A62B-595281B7903C}"/>
    <cellStyle name="20% - Accent6 2 3 8" xfId="8773" xr:uid="{27816BCA-C48D-471E-80D5-299DE857C47F}"/>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50355442-CD05-42B3-9B87-90689E6639D7}"/>
    <cellStyle name="20% - Accent6 2 4 2 3" xfId="11329" xr:uid="{FEB9FDDC-376B-4885-8C47-D4A3423BE263}"/>
    <cellStyle name="20% - Accent6 2 4 3" xfId="4960" xr:uid="{00000000-0005-0000-0000-000062030000}"/>
    <cellStyle name="20% - Accent6 2 4 3 2" xfId="13402" xr:uid="{439EE98F-1941-472F-BE4B-96564C8BD196}"/>
    <cellStyle name="20% - Accent6 2 4 4" xfId="9184" xr:uid="{D68F749E-5FC4-45B3-8DBA-82675558E8D2}"/>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6062D9A6-A3FE-4DC5-8504-65254F59535F}"/>
    <cellStyle name="20% - Accent6 2 5 2 3" xfId="11742" xr:uid="{B1B8C8F4-56E9-44C9-A472-0C777D60E2F8}"/>
    <cellStyle name="20% - Accent6 2 5 3" xfId="5373" xr:uid="{00000000-0005-0000-0000-000066030000}"/>
    <cellStyle name="20% - Accent6 2 5 3 2" xfId="13815" xr:uid="{A9BA5B21-FF94-4CA9-AABC-80BFA6BCE62F}"/>
    <cellStyle name="20% - Accent6 2 5 4" xfId="9597" xr:uid="{CA1E271E-CFE0-4D72-82D9-C66D9BB508C2}"/>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CE0F7F13-C4D1-4C7B-AFA0-5C5604C68231}"/>
    <cellStyle name="20% - Accent6 2 6 2 3" xfId="12155" xr:uid="{12B271C1-07F9-4834-9EA3-D265C698AFB3}"/>
    <cellStyle name="20% - Accent6 2 6 3" xfId="5786" xr:uid="{00000000-0005-0000-0000-00006A030000}"/>
    <cellStyle name="20% - Accent6 2 6 3 2" xfId="14228" xr:uid="{20CF05AD-A416-45F3-BB95-BC1F4B070875}"/>
    <cellStyle name="20% - Accent6 2 6 4" xfId="10010" xr:uid="{5AE5004C-19FE-492E-B251-B00600D523AE}"/>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208B6453-0A68-4935-B8FD-BF3C8E0C517B}"/>
    <cellStyle name="20% - Accent6 2 7 2 3" xfId="12568" xr:uid="{7CADC1AD-E371-435C-BAFB-F384B1888109}"/>
    <cellStyle name="20% - Accent6 2 7 3" xfId="6199" xr:uid="{00000000-0005-0000-0000-00006E030000}"/>
    <cellStyle name="20% - Accent6 2 7 3 2" xfId="14641" xr:uid="{CE99E3BB-A818-48D4-8BB2-4AA5EF232540}"/>
    <cellStyle name="20% - Accent6 2 7 4" xfId="10423" xr:uid="{7D251A3E-278B-413E-8AC7-DA75184F48B0}"/>
    <cellStyle name="20% - Accent6 2 8" xfId="2305" xr:uid="{00000000-0005-0000-0000-00006F030000}"/>
    <cellStyle name="20% - Accent6 2 8 2" xfId="6612" xr:uid="{00000000-0005-0000-0000-000070030000}"/>
    <cellStyle name="20% - Accent6 2 8 2 2" xfId="15054" xr:uid="{82439A53-A6C7-439E-A0D7-6E434854C81D}"/>
    <cellStyle name="20% - Accent6 2 8 3" xfId="10836" xr:uid="{0B069144-1E40-4BE3-B970-346B5F1D176E}"/>
    <cellStyle name="20% - Accent6 2 9" xfId="4546" xr:uid="{00000000-0005-0000-0000-000071030000}"/>
    <cellStyle name="20% - Accent6 2 9 2" xfId="12988" xr:uid="{DDCC85EE-FC6C-4C1E-BFCD-F5586BFF1E11}"/>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C085B33F-6B4B-421F-A56F-2AA1C9B14C13}"/>
    <cellStyle name="20% - Accent6 3 2 2 2 3" xfId="11334" xr:uid="{FBF33298-1D4B-4231-AFD4-A7CD277C021E}"/>
    <cellStyle name="20% - Accent6 3 2 2 3" xfId="4965" xr:uid="{00000000-0005-0000-0000-000077030000}"/>
    <cellStyle name="20% - Accent6 3 2 2 3 2" xfId="13407" xr:uid="{E0E7F866-190E-48E9-90E8-835B98F8B9D4}"/>
    <cellStyle name="20% - Accent6 3 2 2 4" xfId="9189" xr:uid="{1CA20544-23AB-4B24-81BB-43306A90CDDF}"/>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66FEA12F-DF0B-4CA6-BEDD-0669F169936B}"/>
    <cellStyle name="20% - Accent6 3 2 3 2 3" xfId="11747" xr:uid="{DD665731-3CAE-4AB7-AD86-14F2193B7225}"/>
    <cellStyle name="20% - Accent6 3 2 3 3" xfId="5378" xr:uid="{00000000-0005-0000-0000-00007B030000}"/>
    <cellStyle name="20% - Accent6 3 2 3 3 2" xfId="13820" xr:uid="{2B46ADDE-859A-490E-98BE-0CADD74539A9}"/>
    <cellStyle name="20% - Accent6 3 2 3 4" xfId="9602" xr:uid="{113FDD94-B280-4246-AF5A-7232F00DF10E}"/>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7FD914CC-8927-4C78-8F81-461D3C300D46}"/>
    <cellStyle name="20% - Accent6 3 2 4 2 3" xfId="12160" xr:uid="{B94720F0-DE3B-4E74-9B5F-2BB305A40744}"/>
    <cellStyle name="20% - Accent6 3 2 4 3" xfId="5791" xr:uid="{00000000-0005-0000-0000-00007F030000}"/>
    <cellStyle name="20% - Accent6 3 2 4 3 2" xfId="14233" xr:uid="{F6613B74-54E7-4496-A302-FEE01F8B49EE}"/>
    <cellStyle name="20% - Accent6 3 2 4 4" xfId="10015" xr:uid="{6C4F8303-A659-4C1E-9C33-EE21F4B558F5}"/>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1EBE0BB0-FE5B-4354-9146-B51FD95D96CF}"/>
    <cellStyle name="20% - Accent6 3 2 5 2 3" xfId="12573" xr:uid="{C2BA849A-4300-4F49-AF63-537A4A9173BB}"/>
    <cellStyle name="20% - Accent6 3 2 5 3" xfId="6204" xr:uid="{00000000-0005-0000-0000-000083030000}"/>
    <cellStyle name="20% - Accent6 3 2 5 3 2" xfId="14646" xr:uid="{261C8609-077F-454B-B74F-A659BF89BEDA}"/>
    <cellStyle name="20% - Accent6 3 2 5 4" xfId="10428" xr:uid="{4799430A-7F34-4912-8D2B-96AACCB41104}"/>
    <cellStyle name="20% - Accent6 3 2 6" xfId="2310" xr:uid="{00000000-0005-0000-0000-000084030000}"/>
    <cellStyle name="20% - Accent6 3 2 6 2" xfId="6617" xr:uid="{00000000-0005-0000-0000-000085030000}"/>
    <cellStyle name="20% - Accent6 3 2 6 2 2" xfId="15059" xr:uid="{7FEBC84D-0DF1-418A-93FC-12B3A2CABAEF}"/>
    <cellStyle name="20% - Accent6 3 2 6 3" xfId="10841" xr:uid="{000C5063-004C-417C-8B2A-4EF4CA6FA5E6}"/>
    <cellStyle name="20% - Accent6 3 2 7" xfId="4551" xr:uid="{00000000-0005-0000-0000-000086030000}"/>
    <cellStyle name="20% - Accent6 3 2 7 2" xfId="12993" xr:uid="{CCEA9132-BD59-4AD0-B8FA-30E8BBAF7CCA}"/>
    <cellStyle name="20% - Accent6 3 2 8" xfId="8775" xr:uid="{11826BF8-EFC6-464B-9D33-3E62BE94F014}"/>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AA32A753-CC75-4149-B8A9-928691CC0701}"/>
    <cellStyle name="20% - Accent6 3 3 2 3" xfId="11333" xr:uid="{1EDC367C-FC41-49BD-8D8F-059BE2B1FBAE}"/>
    <cellStyle name="20% - Accent6 3 3 3" xfId="4964" xr:uid="{00000000-0005-0000-0000-00008A030000}"/>
    <cellStyle name="20% - Accent6 3 3 3 2" xfId="13406" xr:uid="{88741351-54DE-4E8D-81C6-7D928383F9CB}"/>
    <cellStyle name="20% - Accent6 3 3 4" xfId="9188" xr:uid="{54630683-3F5D-4526-84FC-112D03898C5B}"/>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7F462841-82EA-440A-A2C2-7BEFF2BF136B}"/>
    <cellStyle name="20% - Accent6 3 4 2 3" xfId="11746" xr:uid="{C1D9BC04-2376-4061-83D1-80EA6CFF1F92}"/>
    <cellStyle name="20% - Accent6 3 4 3" xfId="5377" xr:uid="{00000000-0005-0000-0000-00008E030000}"/>
    <cellStyle name="20% - Accent6 3 4 3 2" xfId="13819" xr:uid="{9A46489D-1208-460D-BA17-F53B1AA9837F}"/>
    <cellStyle name="20% - Accent6 3 4 4" xfId="9601" xr:uid="{F2955E16-83F8-407F-AED6-CFF9521BAB92}"/>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2E37428B-2735-4814-9DA4-944C89B39D7F}"/>
    <cellStyle name="20% - Accent6 3 5 2 3" xfId="12159" xr:uid="{11C51B8F-DC68-4B1D-91D3-773E236D1B04}"/>
    <cellStyle name="20% - Accent6 3 5 3" xfId="5790" xr:uid="{00000000-0005-0000-0000-000092030000}"/>
    <cellStyle name="20% - Accent6 3 5 3 2" xfId="14232" xr:uid="{B7C5F912-B39C-4BB4-B92F-F03CF6F55917}"/>
    <cellStyle name="20% - Accent6 3 5 4" xfId="10014" xr:uid="{82EA4D53-82AE-492B-99F6-4048C33E0CC9}"/>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EA3CAD85-BF43-42A3-AC8C-374CEFF66B6E}"/>
    <cellStyle name="20% - Accent6 3 6 2 3" xfId="12572" xr:uid="{D86E88AC-B246-4192-B12F-6FBFEDFCA6BC}"/>
    <cellStyle name="20% - Accent6 3 6 3" xfId="6203" xr:uid="{00000000-0005-0000-0000-000096030000}"/>
    <cellStyle name="20% - Accent6 3 6 3 2" xfId="14645" xr:uid="{3D9BAC19-1C08-494A-A189-2B9C65F74DF5}"/>
    <cellStyle name="20% - Accent6 3 6 4" xfId="10427" xr:uid="{41484613-B7AF-4036-980B-510797BDC1B7}"/>
    <cellStyle name="20% - Accent6 3 7" xfId="2309" xr:uid="{00000000-0005-0000-0000-000097030000}"/>
    <cellStyle name="20% - Accent6 3 7 2" xfId="6616" xr:uid="{00000000-0005-0000-0000-000098030000}"/>
    <cellStyle name="20% - Accent6 3 7 2 2" xfId="15058" xr:uid="{992E9520-1882-4246-B3BE-D20606C53DAD}"/>
    <cellStyle name="20% - Accent6 3 7 3" xfId="10840" xr:uid="{7C91B9D1-9BA7-4699-BEAA-813EF876B59A}"/>
    <cellStyle name="20% - Accent6 3 8" xfId="4550" xr:uid="{00000000-0005-0000-0000-000099030000}"/>
    <cellStyle name="20% - Accent6 3 8 2" xfId="12992" xr:uid="{1BAA1ABA-52D3-43CF-B468-B3C637C2AD09}"/>
    <cellStyle name="20% - Accent6 3 9" xfId="8774" xr:uid="{7EE1D7AF-79F4-4EE3-959E-AF38AE0DF298}"/>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CD582CB4-579B-475E-ADEA-860657ADA40D}"/>
    <cellStyle name="20% - Accent6 4 2 2 3" xfId="11335" xr:uid="{4DFA3565-FEEF-4755-89B1-5A1B3A889CB1}"/>
    <cellStyle name="20% - Accent6 4 2 3" xfId="4966" xr:uid="{00000000-0005-0000-0000-00009E030000}"/>
    <cellStyle name="20% - Accent6 4 2 3 2" xfId="13408" xr:uid="{599B4D20-CC6D-4785-AA70-E51555BC4C08}"/>
    <cellStyle name="20% - Accent6 4 2 4" xfId="9190" xr:uid="{745E6F79-11DD-4CFC-99CD-43066407919C}"/>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55FF841E-72F9-4F18-A9CA-595177F0C848}"/>
    <cellStyle name="20% - Accent6 4 3 2 3" xfId="11748" xr:uid="{3EA7CBB2-47AE-4169-9C99-ADB793DC7C54}"/>
    <cellStyle name="20% - Accent6 4 3 3" xfId="5379" xr:uid="{00000000-0005-0000-0000-0000A2030000}"/>
    <cellStyle name="20% - Accent6 4 3 3 2" xfId="13821" xr:uid="{3AF27280-BE3D-4F63-92FB-526806FE570A}"/>
    <cellStyle name="20% - Accent6 4 3 4" xfId="9603" xr:uid="{4350FA1E-C608-4B04-A928-7EFA317E1801}"/>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B1AEFE2D-F15E-4FBE-A213-EDA6EBE3ECB2}"/>
    <cellStyle name="20% - Accent6 4 4 2 3" xfId="12161" xr:uid="{99BB1E12-0ECB-4D33-8CC0-795E6A97EF62}"/>
    <cellStyle name="20% - Accent6 4 4 3" xfId="5792" xr:uid="{00000000-0005-0000-0000-0000A6030000}"/>
    <cellStyle name="20% - Accent6 4 4 3 2" xfId="14234" xr:uid="{8A3CD936-3D31-44D2-A8E9-2F1CDAC7F1AD}"/>
    <cellStyle name="20% - Accent6 4 4 4" xfId="10016" xr:uid="{128CC66D-A649-4106-A7AE-673BDB41D1A7}"/>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6A67D0A3-A257-4EDD-AFB2-8D95DB7843BC}"/>
    <cellStyle name="20% - Accent6 4 5 2 3" xfId="12574" xr:uid="{8FBAF881-E963-44C8-AC61-10D07BC14509}"/>
    <cellStyle name="20% - Accent6 4 5 3" xfId="6205" xr:uid="{00000000-0005-0000-0000-0000AA030000}"/>
    <cellStyle name="20% - Accent6 4 5 3 2" xfId="14647" xr:uid="{2FAFC165-EE6A-4B7E-ACE8-F929F49AB502}"/>
    <cellStyle name="20% - Accent6 4 5 4" xfId="10429" xr:uid="{E2BAB5F6-94C1-443D-AAC4-3EEA0B652F47}"/>
    <cellStyle name="20% - Accent6 4 6" xfId="2311" xr:uid="{00000000-0005-0000-0000-0000AB030000}"/>
    <cellStyle name="20% - Accent6 4 6 2" xfId="6618" xr:uid="{00000000-0005-0000-0000-0000AC030000}"/>
    <cellStyle name="20% - Accent6 4 6 2 2" xfId="15060" xr:uid="{E8F849A1-9D87-4FA6-8215-042B0A255E80}"/>
    <cellStyle name="20% - Accent6 4 6 3" xfId="10842" xr:uid="{CA426A38-745C-45BE-8655-5D48878C6DFA}"/>
    <cellStyle name="20% - Accent6 4 7" xfId="4552" xr:uid="{00000000-0005-0000-0000-0000AD030000}"/>
    <cellStyle name="20% - Accent6 4 7 2" xfId="12994" xr:uid="{9BAA3AF7-39E5-4CA9-A51A-4BABABF3B8CE}"/>
    <cellStyle name="20% - Accent6 4 8" xfId="8776" xr:uid="{41301285-D2F7-425F-8C00-2E91A29E281F}"/>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306B3228-A129-4904-B693-A1A68A9136BA}"/>
    <cellStyle name="20% - Accent6 5 2 3" xfId="11328" xr:uid="{DD6662D5-D0C7-4B6E-9CEA-20E2293C4235}"/>
    <cellStyle name="20% - Accent6 5 3" xfId="4959" xr:uid="{00000000-0005-0000-0000-0000B1030000}"/>
    <cellStyle name="20% - Accent6 5 3 2" xfId="13401" xr:uid="{9040D9A7-7584-471E-90C4-CB7021353F68}"/>
    <cellStyle name="20% - Accent6 5 4" xfId="9183" xr:uid="{34E419DF-95ED-4302-BF3D-292529630096}"/>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3423C8FC-8FC4-4B98-8FAB-7905DD9E55D6}"/>
    <cellStyle name="20% - Accent6 6 2 3" xfId="11741" xr:uid="{30F7257C-7EA4-43B3-B6F6-DD9F75379CBB}"/>
    <cellStyle name="20% - Accent6 6 3" xfId="5372" xr:uid="{00000000-0005-0000-0000-0000B5030000}"/>
    <cellStyle name="20% - Accent6 6 3 2" xfId="13814" xr:uid="{05D10C69-6A64-4DA2-A106-4F3857A6C4D5}"/>
    <cellStyle name="20% - Accent6 6 4" xfId="9596" xr:uid="{9CB78911-DCBA-4B00-BD29-813723209031}"/>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F9E5D6B5-70DA-435D-90BC-BA0DCBE93687}"/>
    <cellStyle name="20% - Accent6 7 2 3" xfId="12154" xr:uid="{767FA85D-C3A7-4314-A782-4A0631C1D3C7}"/>
    <cellStyle name="20% - Accent6 7 3" xfId="5785" xr:uid="{00000000-0005-0000-0000-0000B9030000}"/>
    <cellStyle name="20% - Accent6 7 3 2" xfId="14227" xr:uid="{1A612BBC-51FF-4CC2-92A1-528715F64FB1}"/>
    <cellStyle name="20% - Accent6 7 4" xfId="10009" xr:uid="{D99D268A-CB73-46B5-B2C0-A9DC0D9CBDF7}"/>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2C67CBCD-5368-41B9-A3A9-1FD27786F3F4}"/>
    <cellStyle name="20% - Accent6 8 2 3" xfId="12567" xr:uid="{0A51AC3D-3547-4E62-8612-3E38ECF2F7AB}"/>
    <cellStyle name="20% - Accent6 8 3" xfId="6198" xr:uid="{00000000-0005-0000-0000-0000BD030000}"/>
    <cellStyle name="20% - Accent6 8 3 2" xfId="14640" xr:uid="{3455A4EE-A406-4A18-BEFC-F00703A5D379}"/>
    <cellStyle name="20% - Accent6 8 4" xfId="10422" xr:uid="{CC13DDD9-85C1-488F-942E-03AE91585CE6}"/>
    <cellStyle name="20% - Accent6 9" xfId="2304" xr:uid="{00000000-0005-0000-0000-0000BE030000}"/>
    <cellStyle name="20% - Accent6 9 2" xfId="6611" xr:uid="{00000000-0005-0000-0000-0000BF030000}"/>
    <cellStyle name="20% - Accent6 9 2 2" xfId="15053" xr:uid="{D9DDA63B-9BDE-4C02-A950-C357DF9FB6BB}"/>
    <cellStyle name="20% - Accent6 9 3" xfId="10835" xr:uid="{4C401501-95AF-4772-AB30-463208152B16}"/>
    <cellStyle name="40% - Accent1" xfId="49" builtinId="31" customBuiltin="1"/>
    <cellStyle name="40% - Accent1 10" xfId="4553" xr:uid="{00000000-0005-0000-0000-0000C1030000}"/>
    <cellStyle name="40% - Accent1 10 2" xfId="12995" xr:uid="{77A8DDFF-852C-4960-8A1D-D6F8BFA5675A}"/>
    <cellStyle name="40% - Accent1 11" xfId="8777" xr:uid="{D2D21593-B214-4874-A2D4-18EA24CF75C1}"/>
    <cellStyle name="40% - Accent1 2" xfId="50" xr:uid="{00000000-0005-0000-0000-0000C2030000}"/>
    <cellStyle name="40% - Accent1 2 10" xfId="8778" xr:uid="{324AC40A-7682-4306-90CB-E7922B7641B9}"/>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28ED39BE-8F10-418D-B132-54AF5EA1C9A2}"/>
    <cellStyle name="40% - Accent1 2 2 2 2 2 3" xfId="11339" xr:uid="{C30C4E58-550C-4205-8A6E-75A0100661A5}"/>
    <cellStyle name="40% - Accent1 2 2 2 2 3" xfId="4970" xr:uid="{00000000-0005-0000-0000-0000C8030000}"/>
    <cellStyle name="40% - Accent1 2 2 2 2 3 2" xfId="13412" xr:uid="{FF3B2F8A-776E-467A-B5B5-5F5EBE53AE03}"/>
    <cellStyle name="40% - Accent1 2 2 2 2 4" xfId="9194" xr:uid="{033762CD-4B2A-41E4-8CB5-72FB6A8728CD}"/>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698BDFC5-B030-4828-A66C-B572E1674A4C}"/>
    <cellStyle name="40% - Accent1 2 2 2 3 2 3" xfId="11752" xr:uid="{2750F42E-8926-4759-8745-EE4E30F10A9A}"/>
    <cellStyle name="40% - Accent1 2 2 2 3 3" xfId="5383" xr:uid="{00000000-0005-0000-0000-0000CC030000}"/>
    <cellStyle name="40% - Accent1 2 2 2 3 3 2" xfId="13825" xr:uid="{7F8D5B12-E8C5-442F-8BD6-A3D5404A7689}"/>
    <cellStyle name="40% - Accent1 2 2 2 3 4" xfId="9607" xr:uid="{8000F9DC-CEF7-49F0-878D-30ABB2051623}"/>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0751821D-5917-40F3-93E0-6CB6528A2925}"/>
    <cellStyle name="40% - Accent1 2 2 2 4 2 3" xfId="12165" xr:uid="{5EDA2F68-9892-4985-AC65-04C959136083}"/>
    <cellStyle name="40% - Accent1 2 2 2 4 3" xfId="5796" xr:uid="{00000000-0005-0000-0000-0000D0030000}"/>
    <cellStyle name="40% - Accent1 2 2 2 4 3 2" xfId="14238" xr:uid="{93D2BDC3-0BC2-4028-BF3C-5BE5A7A56423}"/>
    <cellStyle name="40% - Accent1 2 2 2 4 4" xfId="10020" xr:uid="{C992E227-5841-4086-A6A9-5E7249AFC379}"/>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A1BA9C47-2CC7-4BB8-948F-78D28BA90289}"/>
    <cellStyle name="40% - Accent1 2 2 2 5 2 3" xfId="12578" xr:uid="{071A1629-0CF7-4510-A543-BE3C46036853}"/>
    <cellStyle name="40% - Accent1 2 2 2 5 3" xfId="6209" xr:uid="{00000000-0005-0000-0000-0000D4030000}"/>
    <cellStyle name="40% - Accent1 2 2 2 5 3 2" xfId="14651" xr:uid="{BAF9836A-ADFA-4E3A-A096-E76449001614}"/>
    <cellStyle name="40% - Accent1 2 2 2 5 4" xfId="10433" xr:uid="{F4EBA475-BF62-4DD5-B0C7-E7FF27261682}"/>
    <cellStyle name="40% - Accent1 2 2 2 6" xfId="2315" xr:uid="{00000000-0005-0000-0000-0000D5030000}"/>
    <cellStyle name="40% - Accent1 2 2 2 6 2" xfId="6622" xr:uid="{00000000-0005-0000-0000-0000D6030000}"/>
    <cellStyle name="40% - Accent1 2 2 2 6 2 2" xfId="15064" xr:uid="{9874E816-0A32-4B86-A2D6-493044137791}"/>
    <cellStyle name="40% - Accent1 2 2 2 6 3" xfId="10846" xr:uid="{3B33DE54-D07C-4922-86B6-361181F2F4A5}"/>
    <cellStyle name="40% - Accent1 2 2 2 7" xfId="4556" xr:uid="{00000000-0005-0000-0000-0000D7030000}"/>
    <cellStyle name="40% - Accent1 2 2 2 7 2" xfId="12998" xr:uid="{C11A5720-00E4-44B7-8D9E-14C76270DACC}"/>
    <cellStyle name="40% - Accent1 2 2 2 8" xfId="8780" xr:uid="{418A3635-1A01-45FC-BE4B-CC3478B992A7}"/>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9C6E51E8-33B4-4A5E-A73B-0FEB6E6E3E66}"/>
    <cellStyle name="40% - Accent1 2 2 3 2 3" xfId="11338" xr:uid="{E716CF04-9D88-4E2A-A5FA-952A60DD921D}"/>
    <cellStyle name="40% - Accent1 2 2 3 3" xfId="4969" xr:uid="{00000000-0005-0000-0000-0000DB030000}"/>
    <cellStyle name="40% - Accent1 2 2 3 3 2" xfId="13411" xr:uid="{243222FA-2083-4E98-8984-15CFCE938F9B}"/>
    <cellStyle name="40% - Accent1 2 2 3 4" xfId="9193" xr:uid="{37AD036E-7900-422F-B257-1FB73440C69E}"/>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A3ACB647-0D85-4630-BCA7-AB2E0BFB0F34}"/>
    <cellStyle name="40% - Accent1 2 2 4 2 3" xfId="11751" xr:uid="{36C10AD1-436B-469C-92B6-8C2236D2C7D9}"/>
    <cellStyle name="40% - Accent1 2 2 4 3" xfId="5382" xr:uid="{00000000-0005-0000-0000-0000DF030000}"/>
    <cellStyle name="40% - Accent1 2 2 4 3 2" xfId="13824" xr:uid="{E88F17C3-A5AA-43A5-94FB-268D6F04AEE4}"/>
    <cellStyle name="40% - Accent1 2 2 4 4" xfId="9606" xr:uid="{31046144-CFFC-4E44-88A0-729A4835700C}"/>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D2DD009D-F4AB-4EE7-B4CB-FF8E794FB4FA}"/>
    <cellStyle name="40% - Accent1 2 2 5 2 3" xfId="12164" xr:uid="{4DCB616C-6F03-4761-9199-886C12FA03CD}"/>
    <cellStyle name="40% - Accent1 2 2 5 3" xfId="5795" xr:uid="{00000000-0005-0000-0000-0000E3030000}"/>
    <cellStyle name="40% - Accent1 2 2 5 3 2" xfId="14237" xr:uid="{437423D1-4260-4F6E-BC18-3062223427F6}"/>
    <cellStyle name="40% - Accent1 2 2 5 4" xfId="10019" xr:uid="{72ED9538-8590-4F71-8441-E5EB4ED56FEA}"/>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332E7652-DC77-43E1-9DAC-30FC94E3420C}"/>
    <cellStyle name="40% - Accent1 2 2 6 2 3" xfId="12577" xr:uid="{2C1D88FE-2E44-4BDB-B4C9-CC6DCC694CD3}"/>
    <cellStyle name="40% - Accent1 2 2 6 3" xfId="6208" xr:uid="{00000000-0005-0000-0000-0000E7030000}"/>
    <cellStyle name="40% - Accent1 2 2 6 3 2" xfId="14650" xr:uid="{2483AAA9-A7E3-4852-B029-855F64982AA5}"/>
    <cellStyle name="40% - Accent1 2 2 6 4" xfId="10432" xr:uid="{6B231F28-9B01-4A9F-9296-CFA876ADEB79}"/>
    <cellStyle name="40% - Accent1 2 2 7" xfId="2314" xr:uid="{00000000-0005-0000-0000-0000E8030000}"/>
    <cellStyle name="40% - Accent1 2 2 7 2" xfId="6621" xr:uid="{00000000-0005-0000-0000-0000E9030000}"/>
    <cellStyle name="40% - Accent1 2 2 7 2 2" xfId="15063" xr:uid="{D136CE8A-A3C0-48E4-8582-E65572BB381F}"/>
    <cellStyle name="40% - Accent1 2 2 7 3" xfId="10845" xr:uid="{3E86683A-6125-4428-AAFC-2D569F76C03B}"/>
    <cellStyle name="40% - Accent1 2 2 8" xfId="4555" xr:uid="{00000000-0005-0000-0000-0000EA030000}"/>
    <cellStyle name="40% - Accent1 2 2 8 2" xfId="12997" xr:uid="{64BD231B-0760-430A-87D0-27DBAF7E4D4A}"/>
    <cellStyle name="40% - Accent1 2 2 9" xfId="8779" xr:uid="{E8EFD364-09C1-4B9D-ABDA-4657FFFB4047}"/>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55F97A4D-F7AF-4F49-BDAE-6AC7271EC494}"/>
    <cellStyle name="40% - Accent1 2 3 2 2 3" xfId="11340" xr:uid="{C53E02B7-8470-4800-9E4B-C4A5F45DFA59}"/>
    <cellStyle name="40% - Accent1 2 3 2 3" xfId="4971" xr:uid="{00000000-0005-0000-0000-0000EF030000}"/>
    <cellStyle name="40% - Accent1 2 3 2 3 2" xfId="13413" xr:uid="{93232DFB-42B5-49A0-AF5D-B4E208852116}"/>
    <cellStyle name="40% - Accent1 2 3 2 4" xfId="9195" xr:uid="{C3D40AC3-164B-4ABA-A496-FA13C2BDC84C}"/>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1A9C67F1-83AA-4458-B3DC-30C5357FE575}"/>
    <cellStyle name="40% - Accent1 2 3 3 2 3" xfId="11753" xr:uid="{AD7863AB-B256-4404-BB38-7FEEFCB6EF1F}"/>
    <cellStyle name="40% - Accent1 2 3 3 3" xfId="5384" xr:uid="{00000000-0005-0000-0000-0000F3030000}"/>
    <cellStyle name="40% - Accent1 2 3 3 3 2" xfId="13826" xr:uid="{AB2D9052-FF36-411A-A544-62D307C75A1A}"/>
    <cellStyle name="40% - Accent1 2 3 3 4" xfId="9608" xr:uid="{F713BB39-E2F0-45C3-A597-FC82DA6C0023}"/>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45BC67F1-1118-4C8B-9B7C-45DFAD4FC9FF}"/>
    <cellStyle name="40% - Accent1 2 3 4 2 3" xfId="12166" xr:uid="{2CE109B2-58E0-4445-9008-FB00BEC5B71D}"/>
    <cellStyle name="40% - Accent1 2 3 4 3" xfId="5797" xr:uid="{00000000-0005-0000-0000-0000F7030000}"/>
    <cellStyle name="40% - Accent1 2 3 4 3 2" xfId="14239" xr:uid="{BE9A630D-2A8F-4C11-B776-9013658FEC0B}"/>
    <cellStyle name="40% - Accent1 2 3 4 4" xfId="10021" xr:uid="{B65807DB-9B24-482A-8A82-91486AA7C9D8}"/>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CCDFBA0B-2F73-4107-A9E8-82ECF78AEAA9}"/>
    <cellStyle name="40% - Accent1 2 3 5 2 3" xfId="12579" xr:uid="{8291E5DF-390E-4C18-8F52-552099C068F8}"/>
    <cellStyle name="40% - Accent1 2 3 5 3" xfId="6210" xr:uid="{00000000-0005-0000-0000-0000FB030000}"/>
    <cellStyle name="40% - Accent1 2 3 5 3 2" xfId="14652" xr:uid="{DC3CD9ED-FEA6-417C-8322-6250C298CCCE}"/>
    <cellStyle name="40% - Accent1 2 3 5 4" xfId="10434" xr:uid="{61E78785-2BE2-4F9F-AD5D-E6C3025D3148}"/>
    <cellStyle name="40% - Accent1 2 3 6" xfId="2316" xr:uid="{00000000-0005-0000-0000-0000FC030000}"/>
    <cellStyle name="40% - Accent1 2 3 6 2" xfId="6623" xr:uid="{00000000-0005-0000-0000-0000FD030000}"/>
    <cellStyle name="40% - Accent1 2 3 6 2 2" xfId="15065" xr:uid="{245E0DA1-AEFC-45CF-9104-9357AC3B3FD7}"/>
    <cellStyle name="40% - Accent1 2 3 6 3" xfId="10847" xr:uid="{714C3A6C-F316-4298-8C8A-6327F2D39721}"/>
    <cellStyle name="40% - Accent1 2 3 7" xfId="4557" xr:uid="{00000000-0005-0000-0000-0000FE030000}"/>
    <cellStyle name="40% - Accent1 2 3 7 2" xfId="12999" xr:uid="{4290CBE8-0F4B-4B41-8C48-86BD38208AEE}"/>
    <cellStyle name="40% - Accent1 2 3 8" xfId="8781" xr:uid="{1B6BFEE9-C54A-4855-B4DF-0E1EE973C9CC}"/>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8DFE0688-4694-4D29-8F53-FB88E51F7E27}"/>
    <cellStyle name="40% - Accent1 2 4 2 3" xfId="11337" xr:uid="{D814B04D-7B8E-43DB-B620-386FF3813F26}"/>
    <cellStyle name="40% - Accent1 2 4 3" xfId="4968" xr:uid="{00000000-0005-0000-0000-000002040000}"/>
    <cellStyle name="40% - Accent1 2 4 3 2" xfId="13410" xr:uid="{D1EB8EF8-C3EC-4B40-890C-214FFD52A5A3}"/>
    <cellStyle name="40% - Accent1 2 4 4" xfId="9192" xr:uid="{029FE1B4-2355-4159-B474-FE03C2A1798A}"/>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C3D33F54-03C1-413F-93A4-249385644B28}"/>
    <cellStyle name="40% - Accent1 2 5 2 3" xfId="11750" xr:uid="{BCFFFC29-1E83-4A45-A1AE-D3815ADF08BA}"/>
    <cellStyle name="40% - Accent1 2 5 3" xfId="5381" xr:uid="{00000000-0005-0000-0000-000006040000}"/>
    <cellStyle name="40% - Accent1 2 5 3 2" xfId="13823" xr:uid="{3A2EE33C-10D4-4DBC-AB17-CA5D3C430A03}"/>
    <cellStyle name="40% - Accent1 2 5 4" xfId="9605" xr:uid="{F575E2E9-3F58-4173-BA08-03FBEBB99E1C}"/>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E2B2EAF8-95EB-468E-8EC6-53486E1BBFAF}"/>
    <cellStyle name="40% - Accent1 2 6 2 3" xfId="12163" xr:uid="{6B8EB359-B7F1-4E59-B11A-4B32EF66E4A4}"/>
    <cellStyle name="40% - Accent1 2 6 3" xfId="5794" xr:uid="{00000000-0005-0000-0000-00000A040000}"/>
    <cellStyle name="40% - Accent1 2 6 3 2" xfId="14236" xr:uid="{7C1FAAE4-24D2-498D-A41A-9EEB0EF30C31}"/>
    <cellStyle name="40% - Accent1 2 6 4" xfId="10018" xr:uid="{6FBD4096-99C6-4223-A4A4-EBE1877EEEDC}"/>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124B87FD-32E4-42C7-90D7-B7CE6618C514}"/>
    <cellStyle name="40% - Accent1 2 7 2 3" xfId="12576" xr:uid="{6E8952FE-00E3-4E6E-86C2-79B9CA867E88}"/>
    <cellStyle name="40% - Accent1 2 7 3" xfId="6207" xr:uid="{00000000-0005-0000-0000-00000E040000}"/>
    <cellStyle name="40% - Accent1 2 7 3 2" xfId="14649" xr:uid="{A3ED7710-E97F-4D20-AF53-3F586E3C64BB}"/>
    <cellStyle name="40% - Accent1 2 7 4" xfId="10431" xr:uid="{57AAD279-2825-4F3D-9340-C96576B0D877}"/>
    <cellStyle name="40% - Accent1 2 8" xfId="2313" xr:uid="{00000000-0005-0000-0000-00000F040000}"/>
    <cellStyle name="40% - Accent1 2 8 2" xfId="6620" xr:uid="{00000000-0005-0000-0000-000010040000}"/>
    <cellStyle name="40% - Accent1 2 8 2 2" xfId="15062" xr:uid="{C3798B6D-2B9E-41CE-BE01-45525E3361CE}"/>
    <cellStyle name="40% - Accent1 2 8 3" xfId="10844" xr:uid="{9DAF73A8-6217-4CD8-B8DC-0546F9203110}"/>
    <cellStyle name="40% - Accent1 2 9" xfId="4554" xr:uid="{00000000-0005-0000-0000-000011040000}"/>
    <cellStyle name="40% - Accent1 2 9 2" xfId="12996" xr:uid="{8EEF25A2-8720-492C-9AFC-A9D025712EA5}"/>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D4204DCB-1843-4E68-8096-ED8CCBBFD0E6}"/>
    <cellStyle name="40% - Accent1 3 2 2 2 3" xfId="11342" xr:uid="{FF06A47B-D974-4A5B-85B1-BFCE04DA693F}"/>
    <cellStyle name="40% - Accent1 3 2 2 3" xfId="4973" xr:uid="{00000000-0005-0000-0000-000017040000}"/>
    <cellStyle name="40% - Accent1 3 2 2 3 2" xfId="13415" xr:uid="{F95C8BA1-ED48-4F65-B020-857A167D4530}"/>
    <cellStyle name="40% - Accent1 3 2 2 4" xfId="9197" xr:uid="{D7F30949-37D1-4D20-91D8-9F208C3F4569}"/>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80536C5F-E08A-40D1-92BC-F28AA09E6762}"/>
    <cellStyle name="40% - Accent1 3 2 3 2 3" xfId="11755" xr:uid="{569B1925-A28F-494F-B431-E59FFEBF3EA4}"/>
    <cellStyle name="40% - Accent1 3 2 3 3" xfId="5386" xr:uid="{00000000-0005-0000-0000-00001B040000}"/>
    <cellStyle name="40% - Accent1 3 2 3 3 2" xfId="13828" xr:uid="{CA2571A5-AB18-491D-AA3E-6131DF3B5664}"/>
    <cellStyle name="40% - Accent1 3 2 3 4" xfId="9610" xr:uid="{60F78B81-50FE-4983-83E7-7717A98A6F67}"/>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8DC76B4A-910F-4187-82B9-B31F31D5A33F}"/>
    <cellStyle name="40% - Accent1 3 2 4 2 3" xfId="12168" xr:uid="{CB29CDE4-A963-493D-95D0-3ABD10CAD312}"/>
    <cellStyle name="40% - Accent1 3 2 4 3" xfId="5799" xr:uid="{00000000-0005-0000-0000-00001F040000}"/>
    <cellStyle name="40% - Accent1 3 2 4 3 2" xfId="14241" xr:uid="{F9224261-85F1-4D4D-A46D-D89511E01A1B}"/>
    <cellStyle name="40% - Accent1 3 2 4 4" xfId="10023" xr:uid="{441964ED-D9D7-4926-ACAD-58F649587E11}"/>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6DC32191-98F9-4195-A77B-691A619D0C06}"/>
    <cellStyle name="40% - Accent1 3 2 5 2 3" xfId="12581" xr:uid="{6BD88271-56F3-4426-9734-27B4B25B81F3}"/>
    <cellStyle name="40% - Accent1 3 2 5 3" xfId="6212" xr:uid="{00000000-0005-0000-0000-000023040000}"/>
    <cellStyle name="40% - Accent1 3 2 5 3 2" xfId="14654" xr:uid="{3630ABD8-4C9B-4D9E-A956-693775AEF09C}"/>
    <cellStyle name="40% - Accent1 3 2 5 4" xfId="10436" xr:uid="{8706073D-BC48-4174-B34D-B79FE5B5DA5F}"/>
    <cellStyle name="40% - Accent1 3 2 6" xfId="2318" xr:uid="{00000000-0005-0000-0000-000024040000}"/>
    <cellStyle name="40% - Accent1 3 2 6 2" xfId="6625" xr:uid="{00000000-0005-0000-0000-000025040000}"/>
    <cellStyle name="40% - Accent1 3 2 6 2 2" xfId="15067" xr:uid="{0C782E34-EC68-47C0-961E-E4C9F806FEF2}"/>
    <cellStyle name="40% - Accent1 3 2 6 3" xfId="10849" xr:uid="{A674C4D1-F01E-404A-8901-A007FC3F3DE5}"/>
    <cellStyle name="40% - Accent1 3 2 7" xfId="4559" xr:uid="{00000000-0005-0000-0000-000026040000}"/>
    <cellStyle name="40% - Accent1 3 2 7 2" xfId="13001" xr:uid="{E797C21F-2A57-4C8E-8180-B752A7699E45}"/>
    <cellStyle name="40% - Accent1 3 2 8" xfId="8783" xr:uid="{A2678859-22FF-402C-911A-2F68A7D7CF25}"/>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052BE083-FDFF-4584-91A9-1692997FACD1}"/>
    <cellStyle name="40% - Accent1 3 3 2 3" xfId="11341" xr:uid="{2F56BCC2-3773-43E3-B3DE-D3EB330643E0}"/>
    <cellStyle name="40% - Accent1 3 3 3" xfId="4972" xr:uid="{00000000-0005-0000-0000-00002A040000}"/>
    <cellStyle name="40% - Accent1 3 3 3 2" xfId="13414" xr:uid="{5A14CD90-8E54-49C8-9643-07838E22E0A2}"/>
    <cellStyle name="40% - Accent1 3 3 4" xfId="9196" xr:uid="{39F212E1-3790-48A5-8EDB-08CBD50994BB}"/>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138267D3-FB3C-4A81-B5F3-6793BCC36687}"/>
    <cellStyle name="40% - Accent1 3 4 2 3" xfId="11754" xr:uid="{C52ED89A-4F52-4DF7-87CF-C61664FC6CDF}"/>
    <cellStyle name="40% - Accent1 3 4 3" xfId="5385" xr:uid="{00000000-0005-0000-0000-00002E040000}"/>
    <cellStyle name="40% - Accent1 3 4 3 2" xfId="13827" xr:uid="{7C297959-7E0C-49F4-9198-404F91728740}"/>
    <cellStyle name="40% - Accent1 3 4 4" xfId="9609" xr:uid="{2539C7AB-05B9-4B7E-A438-47D3735A78DC}"/>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D1176EA7-E6F9-472E-A47E-27C6A11958A2}"/>
    <cellStyle name="40% - Accent1 3 5 2 3" xfId="12167" xr:uid="{9C238B2C-48ED-4CF3-B62A-85C1B2B3BFA9}"/>
    <cellStyle name="40% - Accent1 3 5 3" xfId="5798" xr:uid="{00000000-0005-0000-0000-000032040000}"/>
    <cellStyle name="40% - Accent1 3 5 3 2" xfId="14240" xr:uid="{E260FEA8-2B93-4027-A754-D24674BCF023}"/>
    <cellStyle name="40% - Accent1 3 5 4" xfId="10022" xr:uid="{77710914-F1AF-4D98-820A-C5A54EB36E6D}"/>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4DB547C8-08F1-4C35-9DC5-16B09E34FEBE}"/>
    <cellStyle name="40% - Accent1 3 6 2 3" xfId="12580" xr:uid="{C5CCF1C1-C56D-4A2A-B618-DCC835866E6F}"/>
    <cellStyle name="40% - Accent1 3 6 3" xfId="6211" xr:uid="{00000000-0005-0000-0000-000036040000}"/>
    <cellStyle name="40% - Accent1 3 6 3 2" xfId="14653" xr:uid="{C3D3E8A3-F16C-4CCF-9724-D14F4007803E}"/>
    <cellStyle name="40% - Accent1 3 6 4" xfId="10435" xr:uid="{508B58A4-116D-40C2-A52D-8618EC662E36}"/>
    <cellStyle name="40% - Accent1 3 7" xfId="2317" xr:uid="{00000000-0005-0000-0000-000037040000}"/>
    <cellStyle name="40% - Accent1 3 7 2" xfId="6624" xr:uid="{00000000-0005-0000-0000-000038040000}"/>
    <cellStyle name="40% - Accent1 3 7 2 2" xfId="15066" xr:uid="{8C3708EC-9356-4163-A9C5-7087B3CFCDD4}"/>
    <cellStyle name="40% - Accent1 3 7 3" xfId="10848" xr:uid="{D632C273-DF12-4C48-AE2C-6E91AA462F67}"/>
    <cellStyle name="40% - Accent1 3 8" xfId="4558" xr:uid="{00000000-0005-0000-0000-000039040000}"/>
    <cellStyle name="40% - Accent1 3 8 2" xfId="13000" xr:uid="{8A8CAC53-8B04-4865-816A-528345EC6BE3}"/>
    <cellStyle name="40% - Accent1 3 9" xfId="8782" xr:uid="{31ECC237-EF92-4633-8F34-8E56B401CC2F}"/>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AAF89BF4-43CE-4F74-B289-423A2BA8DC32}"/>
    <cellStyle name="40% - Accent1 4 2 2 3" xfId="11343" xr:uid="{7614A880-1BF2-41A5-AB48-71FC344811DE}"/>
    <cellStyle name="40% - Accent1 4 2 3" xfId="4974" xr:uid="{00000000-0005-0000-0000-00003E040000}"/>
    <cellStyle name="40% - Accent1 4 2 3 2" xfId="13416" xr:uid="{7B0030C0-FB16-4713-8D3C-9CC6F25004FA}"/>
    <cellStyle name="40% - Accent1 4 2 4" xfId="9198" xr:uid="{44BD7E84-9608-4A33-8DA7-0450303D8AC8}"/>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05801683-3266-4555-833F-9A34419EC295}"/>
    <cellStyle name="40% - Accent1 4 3 2 3" xfId="11756" xr:uid="{5850FD1D-232C-41F1-91F6-32AD5371AB74}"/>
    <cellStyle name="40% - Accent1 4 3 3" xfId="5387" xr:uid="{00000000-0005-0000-0000-000042040000}"/>
    <cellStyle name="40% - Accent1 4 3 3 2" xfId="13829" xr:uid="{FC6AD04E-59C3-41E1-991F-122F9EB449EE}"/>
    <cellStyle name="40% - Accent1 4 3 4" xfId="9611" xr:uid="{2C214740-90F3-491D-841B-B9FE3447683A}"/>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C02748CA-002A-4087-9EB8-86F2C5CBC967}"/>
    <cellStyle name="40% - Accent1 4 4 2 3" xfId="12169" xr:uid="{D5E7EF32-912C-4383-8949-9141D2E87F7E}"/>
    <cellStyle name="40% - Accent1 4 4 3" xfId="5800" xr:uid="{00000000-0005-0000-0000-000046040000}"/>
    <cellStyle name="40% - Accent1 4 4 3 2" xfId="14242" xr:uid="{876515E3-D856-4663-80F3-F6ED896ECBA1}"/>
    <cellStyle name="40% - Accent1 4 4 4" xfId="10024" xr:uid="{1F3CFB52-2A63-49EA-9E14-181A3C54B6D3}"/>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F2DD5F1C-ED73-4306-BF46-19ED4B89EA26}"/>
    <cellStyle name="40% - Accent1 4 5 2 3" xfId="12582" xr:uid="{0175CC48-A73B-4E5C-B4B6-16DC90BD5128}"/>
    <cellStyle name="40% - Accent1 4 5 3" xfId="6213" xr:uid="{00000000-0005-0000-0000-00004A040000}"/>
    <cellStyle name="40% - Accent1 4 5 3 2" xfId="14655" xr:uid="{5D360B0F-6994-4213-B496-B012097A16ED}"/>
    <cellStyle name="40% - Accent1 4 5 4" xfId="10437" xr:uid="{A5C2FA33-B951-4A06-9F32-A2B6F7FCF7B3}"/>
    <cellStyle name="40% - Accent1 4 6" xfId="2319" xr:uid="{00000000-0005-0000-0000-00004B040000}"/>
    <cellStyle name="40% - Accent1 4 6 2" xfId="6626" xr:uid="{00000000-0005-0000-0000-00004C040000}"/>
    <cellStyle name="40% - Accent1 4 6 2 2" xfId="15068" xr:uid="{BB3BB500-D63A-47D7-A39F-7D71B148BE80}"/>
    <cellStyle name="40% - Accent1 4 6 3" xfId="10850" xr:uid="{0B9FFE2B-1415-4295-994D-FD7D683FBDC5}"/>
    <cellStyle name="40% - Accent1 4 7" xfId="4560" xr:uid="{00000000-0005-0000-0000-00004D040000}"/>
    <cellStyle name="40% - Accent1 4 7 2" xfId="13002" xr:uid="{3295A6BA-F9AC-426D-943A-FCDE1297D961}"/>
    <cellStyle name="40% - Accent1 4 8" xfId="8784" xr:uid="{D8157763-259A-47D8-B458-1DD0376DDD51}"/>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0C589058-1448-4802-AA40-1AF65D1A3C41}"/>
    <cellStyle name="40% - Accent1 5 2 3" xfId="11336" xr:uid="{329BD81D-BEA6-4BC3-8E73-0D915DC33617}"/>
    <cellStyle name="40% - Accent1 5 3" xfId="4967" xr:uid="{00000000-0005-0000-0000-000051040000}"/>
    <cellStyle name="40% - Accent1 5 3 2" xfId="13409" xr:uid="{431BCB6B-04FF-4889-BE2F-148BED5836DC}"/>
    <cellStyle name="40% - Accent1 5 4" xfId="9191" xr:uid="{24A50CFA-8A5F-402C-B131-777960AFCBA7}"/>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9F704ED7-3EF8-415D-A727-66F74461FEF9}"/>
    <cellStyle name="40% - Accent1 6 2 3" xfId="11749" xr:uid="{30DC9F8F-8EF8-477A-9DD4-E69B73A45036}"/>
    <cellStyle name="40% - Accent1 6 3" xfId="5380" xr:uid="{00000000-0005-0000-0000-000055040000}"/>
    <cellStyle name="40% - Accent1 6 3 2" xfId="13822" xr:uid="{54AB925D-8226-4903-8FD4-D746A51E3B73}"/>
    <cellStyle name="40% - Accent1 6 4" xfId="9604" xr:uid="{01814DBE-FC46-4CF2-8DE5-CFB8277EFE11}"/>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BBA1E8F9-1B4E-4CB1-A334-881CE4F24965}"/>
    <cellStyle name="40% - Accent1 7 2 3" xfId="12162" xr:uid="{FDFEB3E5-6FC9-452C-8ADA-1153A16F8DCA}"/>
    <cellStyle name="40% - Accent1 7 3" xfId="5793" xr:uid="{00000000-0005-0000-0000-000059040000}"/>
    <cellStyle name="40% - Accent1 7 3 2" xfId="14235" xr:uid="{6731940E-6638-477B-9C87-AF106CD95550}"/>
    <cellStyle name="40% - Accent1 7 4" xfId="10017" xr:uid="{A7ECEC31-E6CA-470C-853D-2369E2BB61D6}"/>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C10218CD-1B0D-4E6F-81A1-52DFAB7DDCA1}"/>
    <cellStyle name="40% - Accent1 8 2 3" xfId="12575" xr:uid="{52703AE8-BD12-4777-AAC7-459D7C2FF996}"/>
    <cellStyle name="40% - Accent1 8 3" xfId="6206" xr:uid="{00000000-0005-0000-0000-00005D040000}"/>
    <cellStyle name="40% - Accent1 8 3 2" xfId="14648" xr:uid="{54A38493-AEC1-4064-B2FE-5EC6E268A97D}"/>
    <cellStyle name="40% - Accent1 8 4" xfId="10430" xr:uid="{F602B3D5-735A-4607-9022-661D43C59371}"/>
    <cellStyle name="40% - Accent1 9" xfId="2312" xr:uid="{00000000-0005-0000-0000-00005E040000}"/>
    <cellStyle name="40% - Accent1 9 2" xfId="6619" xr:uid="{00000000-0005-0000-0000-00005F040000}"/>
    <cellStyle name="40% - Accent1 9 2 2" xfId="15061" xr:uid="{0ACE33CA-F621-47F1-8DFF-23C6D9E6DB5B}"/>
    <cellStyle name="40% - Accent1 9 3" xfId="10843" xr:uid="{05FD70F2-AAE8-484C-B52F-6AC1B44A5D70}"/>
    <cellStyle name="40% - Accent2" xfId="57" builtinId="35" customBuiltin="1"/>
    <cellStyle name="40% - Accent2 10" xfId="4561" xr:uid="{00000000-0005-0000-0000-000061040000}"/>
    <cellStyle name="40% - Accent2 10 2" xfId="13003" xr:uid="{4F1BD8AC-9D8F-4135-AA4F-3664342A62F6}"/>
    <cellStyle name="40% - Accent2 11" xfId="8785" xr:uid="{2C579A16-3ADD-4DC2-A0F0-498FA3214EBD}"/>
    <cellStyle name="40% - Accent2 2" xfId="58" xr:uid="{00000000-0005-0000-0000-000062040000}"/>
    <cellStyle name="40% - Accent2 2 10" xfId="8786" xr:uid="{4C834EC1-1AE2-4051-A5D6-1171F7F46D08}"/>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8BF8D605-D0B8-414C-B651-E8EBA970BD8E}"/>
    <cellStyle name="40% - Accent2 2 2 2 2 2 3" xfId="11347" xr:uid="{2C80B1D3-B73F-476F-BE0F-7B99709EB708}"/>
    <cellStyle name="40% - Accent2 2 2 2 2 3" xfId="4978" xr:uid="{00000000-0005-0000-0000-000068040000}"/>
    <cellStyle name="40% - Accent2 2 2 2 2 3 2" xfId="13420" xr:uid="{8B7385F0-4227-4E65-8BD4-50BB72FE2FA7}"/>
    <cellStyle name="40% - Accent2 2 2 2 2 4" xfId="9202" xr:uid="{962F54EC-0EF4-4261-A55E-BFE5B41AC70D}"/>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27EB471B-A286-42DF-9CA9-E3DF36D70812}"/>
    <cellStyle name="40% - Accent2 2 2 2 3 2 3" xfId="11760" xr:uid="{C893F345-31AE-441A-9D16-129A383B0C5B}"/>
    <cellStyle name="40% - Accent2 2 2 2 3 3" xfId="5391" xr:uid="{00000000-0005-0000-0000-00006C040000}"/>
    <cellStyle name="40% - Accent2 2 2 2 3 3 2" xfId="13833" xr:uid="{744D6A26-8C9F-401F-AA1F-5FB608007987}"/>
    <cellStyle name="40% - Accent2 2 2 2 3 4" xfId="9615" xr:uid="{6A6062A4-5A95-4608-911D-CF980B52893F}"/>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C1E29D01-77A1-4EC1-BD47-8414FCE44B90}"/>
    <cellStyle name="40% - Accent2 2 2 2 4 2 3" xfId="12173" xr:uid="{DBFDF07D-8EAC-4077-8E5D-8F4A71705DB3}"/>
    <cellStyle name="40% - Accent2 2 2 2 4 3" xfId="5804" xr:uid="{00000000-0005-0000-0000-000070040000}"/>
    <cellStyle name="40% - Accent2 2 2 2 4 3 2" xfId="14246" xr:uid="{DF5A251D-7AC8-4709-B50B-F6EB21ED7E9B}"/>
    <cellStyle name="40% - Accent2 2 2 2 4 4" xfId="10028" xr:uid="{C877BF13-F1ED-452A-BD3D-5399D08085F7}"/>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618137DC-CD39-4D7E-9A5B-C43FBE34CD9C}"/>
    <cellStyle name="40% - Accent2 2 2 2 5 2 3" xfId="12586" xr:uid="{6E6D77D5-A542-40E8-A83A-1D7DC0B804FA}"/>
    <cellStyle name="40% - Accent2 2 2 2 5 3" xfId="6217" xr:uid="{00000000-0005-0000-0000-000074040000}"/>
    <cellStyle name="40% - Accent2 2 2 2 5 3 2" xfId="14659" xr:uid="{EA752407-83CD-4CD6-9F43-B4D7D04CE36E}"/>
    <cellStyle name="40% - Accent2 2 2 2 5 4" xfId="10441" xr:uid="{48F675EB-950A-4FB6-8EB2-DE5344D8AAB6}"/>
    <cellStyle name="40% - Accent2 2 2 2 6" xfId="2323" xr:uid="{00000000-0005-0000-0000-000075040000}"/>
    <cellStyle name="40% - Accent2 2 2 2 6 2" xfId="6630" xr:uid="{00000000-0005-0000-0000-000076040000}"/>
    <cellStyle name="40% - Accent2 2 2 2 6 2 2" xfId="15072" xr:uid="{2961C4C5-7FCD-4B57-B32A-926FA8CE373E}"/>
    <cellStyle name="40% - Accent2 2 2 2 6 3" xfId="10854" xr:uid="{439412C0-C376-48D4-B0DF-104BE1E0DA9F}"/>
    <cellStyle name="40% - Accent2 2 2 2 7" xfId="4564" xr:uid="{00000000-0005-0000-0000-000077040000}"/>
    <cellStyle name="40% - Accent2 2 2 2 7 2" xfId="13006" xr:uid="{60CCFE15-54B2-4CF5-8AA0-F31599CE9E3B}"/>
    <cellStyle name="40% - Accent2 2 2 2 8" xfId="8788" xr:uid="{0640558E-0D02-4814-9636-849EA99A56D7}"/>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305E2041-8900-4B11-BA0C-77D9C199A6EC}"/>
    <cellStyle name="40% - Accent2 2 2 3 2 3" xfId="11346" xr:uid="{CADD7BA6-75E6-4DEB-86F7-68B18B7765CA}"/>
    <cellStyle name="40% - Accent2 2 2 3 3" xfId="4977" xr:uid="{00000000-0005-0000-0000-00007B040000}"/>
    <cellStyle name="40% - Accent2 2 2 3 3 2" xfId="13419" xr:uid="{4BB8CCDE-9EED-4719-9996-DAF64EA1E2AE}"/>
    <cellStyle name="40% - Accent2 2 2 3 4" xfId="9201" xr:uid="{D8F2B0F0-208E-4322-BA0C-20B622FDE35A}"/>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59429F45-15DC-4935-AFB1-64BFB357F1A0}"/>
    <cellStyle name="40% - Accent2 2 2 4 2 3" xfId="11759" xr:uid="{E3812626-DFB8-42E7-A554-95C1D98C9A45}"/>
    <cellStyle name="40% - Accent2 2 2 4 3" xfId="5390" xr:uid="{00000000-0005-0000-0000-00007F040000}"/>
    <cellStyle name="40% - Accent2 2 2 4 3 2" xfId="13832" xr:uid="{511BA56D-369D-49C0-8B3C-CC74AF9704B5}"/>
    <cellStyle name="40% - Accent2 2 2 4 4" xfId="9614" xr:uid="{ED13F5D7-F165-44E3-A00A-F005C568BCB7}"/>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35105C45-A061-4D60-B708-F62706637C8C}"/>
    <cellStyle name="40% - Accent2 2 2 5 2 3" xfId="12172" xr:uid="{2A058177-A3F7-4DD1-8743-27849AD03258}"/>
    <cellStyle name="40% - Accent2 2 2 5 3" xfId="5803" xr:uid="{00000000-0005-0000-0000-000083040000}"/>
    <cellStyle name="40% - Accent2 2 2 5 3 2" xfId="14245" xr:uid="{6676870F-199D-4462-9E8C-6514CE7F55D7}"/>
    <cellStyle name="40% - Accent2 2 2 5 4" xfId="10027" xr:uid="{43204FEC-0B20-49BC-9134-048B90C4F181}"/>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037C0256-F2AF-4BC7-8DAA-2A375161369A}"/>
    <cellStyle name="40% - Accent2 2 2 6 2 3" xfId="12585" xr:uid="{EDE39FF6-0ED1-4833-B042-320A5B689A2C}"/>
    <cellStyle name="40% - Accent2 2 2 6 3" xfId="6216" xr:uid="{00000000-0005-0000-0000-000087040000}"/>
    <cellStyle name="40% - Accent2 2 2 6 3 2" xfId="14658" xr:uid="{089B4C20-08D9-4532-9174-EBDF70A92FA2}"/>
    <cellStyle name="40% - Accent2 2 2 6 4" xfId="10440" xr:uid="{E10AA597-B837-4F1D-8C78-FA5D4A4CAE78}"/>
    <cellStyle name="40% - Accent2 2 2 7" xfId="2322" xr:uid="{00000000-0005-0000-0000-000088040000}"/>
    <cellStyle name="40% - Accent2 2 2 7 2" xfId="6629" xr:uid="{00000000-0005-0000-0000-000089040000}"/>
    <cellStyle name="40% - Accent2 2 2 7 2 2" xfId="15071" xr:uid="{DDB19D62-90ED-4299-AE20-2D1F90659369}"/>
    <cellStyle name="40% - Accent2 2 2 7 3" xfId="10853" xr:uid="{067D9C71-E4B2-42FF-A68B-98011F47BAEC}"/>
    <cellStyle name="40% - Accent2 2 2 8" xfId="4563" xr:uid="{00000000-0005-0000-0000-00008A040000}"/>
    <cellStyle name="40% - Accent2 2 2 8 2" xfId="13005" xr:uid="{BC84BBB2-94D8-4EC5-9B87-6EB7B9B18A76}"/>
    <cellStyle name="40% - Accent2 2 2 9" xfId="8787" xr:uid="{067DA722-33A6-4554-BD82-ECE611BF46AE}"/>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4731C1AC-37EC-4B43-AF99-8B84BD610B8C}"/>
    <cellStyle name="40% - Accent2 2 3 2 2 3" xfId="11348" xr:uid="{A6B8D221-F064-4577-A7C0-A26C9537264C}"/>
    <cellStyle name="40% - Accent2 2 3 2 3" xfId="4979" xr:uid="{00000000-0005-0000-0000-00008F040000}"/>
    <cellStyle name="40% - Accent2 2 3 2 3 2" xfId="13421" xr:uid="{85EF2D33-BAA4-47FE-ABF4-63A6893FF447}"/>
    <cellStyle name="40% - Accent2 2 3 2 4" xfId="9203" xr:uid="{815E7980-CEE0-492C-8598-7D5EA08C438C}"/>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69BE13C5-2DE0-4434-9047-0AA759C7A088}"/>
    <cellStyle name="40% - Accent2 2 3 3 2 3" xfId="11761" xr:uid="{A6F10C0C-7D00-4F4E-B7D8-EB872C758D3C}"/>
    <cellStyle name="40% - Accent2 2 3 3 3" xfId="5392" xr:uid="{00000000-0005-0000-0000-000093040000}"/>
    <cellStyle name="40% - Accent2 2 3 3 3 2" xfId="13834" xr:uid="{0C3F2AD2-F2F8-4F87-9B7C-4BD05B9D6F11}"/>
    <cellStyle name="40% - Accent2 2 3 3 4" xfId="9616" xr:uid="{A5F86DA3-2843-4C35-A623-F33741E405A4}"/>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A548D4F7-5B48-4BB9-88C1-90C19567C6BE}"/>
    <cellStyle name="40% - Accent2 2 3 4 2 3" xfId="12174" xr:uid="{1B514AF1-FCAA-4AA8-B63A-D51990DBA58B}"/>
    <cellStyle name="40% - Accent2 2 3 4 3" xfId="5805" xr:uid="{00000000-0005-0000-0000-000097040000}"/>
    <cellStyle name="40% - Accent2 2 3 4 3 2" xfId="14247" xr:uid="{004D3072-E710-4992-9BC2-760D0A5A8AC5}"/>
    <cellStyle name="40% - Accent2 2 3 4 4" xfId="10029" xr:uid="{2E0F9BCC-753D-4CAC-90C3-FDDA7E51D02A}"/>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32B705B9-C398-4332-9FDB-CDC195B4119A}"/>
    <cellStyle name="40% - Accent2 2 3 5 2 3" xfId="12587" xr:uid="{C76663BF-12A3-434F-8B8A-0D1A140FDA5A}"/>
    <cellStyle name="40% - Accent2 2 3 5 3" xfId="6218" xr:uid="{00000000-0005-0000-0000-00009B040000}"/>
    <cellStyle name="40% - Accent2 2 3 5 3 2" xfId="14660" xr:uid="{0D14661B-3B19-48BC-A3AC-33C1AE00BA39}"/>
    <cellStyle name="40% - Accent2 2 3 5 4" xfId="10442" xr:uid="{209E133D-4BEC-4D3C-BED4-C59350D42FB9}"/>
    <cellStyle name="40% - Accent2 2 3 6" xfId="2324" xr:uid="{00000000-0005-0000-0000-00009C040000}"/>
    <cellStyle name="40% - Accent2 2 3 6 2" xfId="6631" xr:uid="{00000000-0005-0000-0000-00009D040000}"/>
    <cellStyle name="40% - Accent2 2 3 6 2 2" xfId="15073" xr:uid="{BAF2C66B-4A87-4B96-9991-563B3C822E94}"/>
    <cellStyle name="40% - Accent2 2 3 6 3" xfId="10855" xr:uid="{83B18A6D-2699-4418-B523-01F25FD0A7D6}"/>
    <cellStyle name="40% - Accent2 2 3 7" xfId="4565" xr:uid="{00000000-0005-0000-0000-00009E040000}"/>
    <cellStyle name="40% - Accent2 2 3 7 2" xfId="13007" xr:uid="{01718269-B479-47FD-85FB-8F30708E06A1}"/>
    <cellStyle name="40% - Accent2 2 3 8" xfId="8789" xr:uid="{AE464FAF-B9BC-435B-80EF-42EA98A4A16F}"/>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94FE1D12-29D0-4E14-B060-37387342B77F}"/>
    <cellStyle name="40% - Accent2 2 4 2 3" xfId="11345" xr:uid="{28669D52-835A-438D-9D5D-51A168EF3DE7}"/>
    <cellStyle name="40% - Accent2 2 4 3" xfId="4976" xr:uid="{00000000-0005-0000-0000-0000A2040000}"/>
    <cellStyle name="40% - Accent2 2 4 3 2" xfId="13418" xr:uid="{8632539E-BD18-43D1-9B92-6B95489BC9AF}"/>
    <cellStyle name="40% - Accent2 2 4 4" xfId="9200" xr:uid="{34776D77-73BB-4C0E-831C-BA8D2E2855F3}"/>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9D44EE42-2903-418C-9E1E-D9C630BBABE9}"/>
    <cellStyle name="40% - Accent2 2 5 2 3" xfId="11758" xr:uid="{EEAF6353-079B-445D-9A02-A008E1EDC853}"/>
    <cellStyle name="40% - Accent2 2 5 3" xfId="5389" xr:uid="{00000000-0005-0000-0000-0000A6040000}"/>
    <cellStyle name="40% - Accent2 2 5 3 2" xfId="13831" xr:uid="{BE025C60-0808-4C47-AB49-951AE1AFBC57}"/>
    <cellStyle name="40% - Accent2 2 5 4" xfId="9613" xr:uid="{3F3DC786-C4C2-450C-81E1-8B9B98767F01}"/>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6F96FACC-CEC6-4CAC-A094-DB72D5FEBF7E}"/>
    <cellStyle name="40% - Accent2 2 6 2 3" xfId="12171" xr:uid="{B1F8CAA0-F57F-4FCA-8C6C-12E2B670D1E3}"/>
    <cellStyle name="40% - Accent2 2 6 3" xfId="5802" xr:uid="{00000000-0005-0000-0000-0000AA040000}"/>
    <cellStyle name="40% - Accent2 2 6 3 2" xfId="14244" xr:uid="{981D2D49-ECB0-4615-89CC-84F86BC164AE}"/>
    <cellStyle name="40% - Accent2 2 6 4" xfId="10026" xr:uid="{ED75B926-12CF-4164-81C7-05315D839341}"/>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2C5E01DE-CE90-4043-9CC9-4CBD9C53A5A1}"/>
    <cellStyle name="40% - Accent2 2 7 2 3" xfId="12584" xr:uid="{BA8E62FE-0804-466E-803A-1B03155C06F4}"/>
    <cellStyle name="40% - Accent2 2 7 3" xfId="6215" xr:uid="{00000000-0005-0000-0000-0000AE040000}"/>
    <cellStyle name="40% - Accent2 2 7 3 2" xfId="14657" xr:uid="{F7F35FC6-65B1-4E9D-8912-9D0C43B29D90}"/>
    <cellStyle name="40% - Accent2 2 7 4" xfId="10439" xr:uid="{6FB49811-C5D2-466C-8D0D-A47FE80DF4EC}"/>
    <cellStyle name="40% - Accent2 2 8" xfId="2321" xr:uid="{00000000-0005-0000-0000-0000AF040000}"/>
    <cellStyle name="40% - Accent2 2 8 2" xfId="6628" xr:uid="{00000000-0005-0000-0000-0000B0040000}"/>
    <cellStyle name="40% - Accent2 2 8 2 2" xfId="15070" xr:uid="{E1F063DC-B7D1-45C2-A57A-002D7D27E2A0}"/>
    <cellStyle name="40% - Accent2 2 8 3" xfId="10852" xr:uid="{EB6EAB92-6FCC-41AC-8FBD-170C3140E12D}"/>
    <cellStyle name="40% - Accent2 2 9" xfId="4562" xr:uid="{00000000-0005-0000-0000-0000B1040000}"/>
    <cellStyle name="40% - Accent2 2 9 2" xfId="13004" xr:uid="{1F128D67-6BF5-4E81-B619-7B54384B20BF}"/>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76959C27-1E35-4B93-A08C-CAD39F8A5CF9}"/>
    <cellStyle name="40% - Accent2 3 2 2 2 3" xfId="11350" xr:uid="{3C36FFEA-43BB-4F86-AD69-5AEDA444E407}"/>
    <cellStyle name="40% - Accent2 3 2 2 3" xfId="4981" xr:uid="{00000000-0005-0000-0000-0000B7040000}"/>
    <cellStyle name="40% - Accent2 3 2 2 3 2" xfId="13423" xr:uid="{EBEA480B-4A60-4FB8-9D1B-9EE1B9A88198}"/>
    <cellStyle name="40% - Accent2 3 2 2 4" xfId="9205" xr:uid="{83687453-8238-408B-858E-0FF542CFFA50}"/>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233DD145-2638-4B28-960E-AC6F62DE37AB}"/>
    <cellStyle name="40% - Accent2 3 2 3 2 3" xfId="11763" xr:uid="{2D72B71A-4A94-4226-A101-4138F557EF13}"/>
    <cellStyle name="40% - Accent2 3 2 3 3" xfId="5394" xr:uid="{00000000-0005-0000-0000-0000BB040000}"/>
    <cellStyle name="40% - Accent2 3 2 3 3 2" xfId="13836" xr:uid="{AE42E3EE-83D4-4F25-9E59-E42AF66738EE}"/>
    <cellStyle name="40% - Accent2 3 2 3 4" xfId="9618" xr:uid="{399EF3C1-4369-46A5-AED1-46ED40092DD0}"/>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AD153C91-2448-45FA-8C6D-50FCA16ECEA8}"/>
    <cellStyle name="40% - Accent2 3 2 4 2 3" xfId="12176" xr:uid="{3852A0F6-967E-4AB5-8684-8F08865EEE6F}"/>
    <cellStyle name="40% - Accent2 3 2 4 3" xfId="5807" xr:uid="{00000000-0005-0000-0000-0000BF040000}"/>
    <cellStyle name="40% - Accent2 3 2 4 3 2" xfId="14249" xr:uid="{AD7793C1-DA32-4876-A6FC-11C710F7244D}"/>
    <cellStyle name="40% - Accent2 3 2 4 4" xfId="10031" xr:uid="{A22AF622-5D0E-4FDC-9C91-6E9D0B9CE95B}"/>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136874FF-A4D3-43E6-83E5-935960473AE7}"/>
    <cellStyle name="40% - Accent2 3 2 5 2 3" xfId="12589" xr:uid="{FDAB96EA-E6FD-494A-835B-F5D4AB512F86}"/>
    <cellStyle name="40% - Accent2 3 2 5 3" xfId="6220" xr:uid="{00000000-0005-0000-0000-0000C3040000}"/>
    <cellStyle name="40% - Accent2 3 2 5 3 2" xfId="14662" xr:uid="{6EED47AA-F992-43B5-8B49-598B38509B24}"/>
    <cellStyle name="40% - Accent2 3 2 5 4" xfId="10444" xr:uid="{EBB50D5A-E4D6-4FE7-A107-D0D5D39CDC7A}"/>
    <cellStyle name="40% - Accent2 3 2 6" xfId="2326" xr:uid="{00000000-0005-0000-0000-0000C4040000}"/>
    <cellStyle name="40% - Accent2 3 2 6 2" xfId="6633" xr:uid="{00000000-0005-0000-0000-0000C5040000}"/>
    <cellStyle name="40% - Accent2 3 2 6 2 2" xfId="15075" xr:uid="{669BE31C-E48E-492B-86CF-8A9CF4CD0434}"/>
    <cellStyle name="40% - Accent2 3 2 6 3" xfId="10857" xr:uid="{6228EE3E-8124-4F4B-AB50-83A43286C861}"/>
    <cellStyle name="40% - Accent2 3 2 7" xfId="4567" xr:uid="{00000000-0005-0000-0000-0000C6040000}"/>
    <cellStyle name="40% - Accent2 3 2 7 2" xfId="13009" xr:uid="{91892A25-4936-401F-AC0F-7FA286FC2797}"/>
    <cellStyle name="40% - Accent2 3 2 8" xfId="8791" xr:uid="{AD6CBA46-F09D-4B8F-AA3A-1AE3F07FE95F}"/>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CF7A6EF6-9560-43E4-B2F2-F32D1BA523E4}"/>
    <cellStyle name="40% - Accent2 3 3 2 3" xfId="11349" xr:uid="{AAE1DEB6-0FDD-49FC-9E2A-AFD09AD4DEF3}"/>
    <cellStyle name="40% - Accent2 3 3 3" xfId="4980" xr:uid="{00000000-0005-0000-0000-0000CA040000}"/>
    <cellStyle name="40% - Accent2 3 3 3 2" xfId="13422" xr:uid="{E398CF92-6F31-4F0C-B7C5-C6B4BCDDE180}"/>
    <cellStyle name="40% - Accent2 3 3 4" xfId="9204" xr:uid="{CB9973E6-D705-4185-973B-6E10598C7D50}"/>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5DCA0506-9C76-44F5-8B46-0BA58818B0EA}"/>
    <cellStyle name="40% - Accent2 3 4 2 3" xfId="11762" xr:uid="{43357048-C756-4444-9AD8-39F9800CA718}"/>
    <cellStyle name="40% - Accent2 3 4 3" xfId="5393" xr:uid="{00000000-0005-0000-0000-0000CE040000}"/>
    <cellStyle name="40% - Accent2 3 4 3 2" xfId="13835" xr:uid="{1919C297-0145-4057-8DC3-A0AB9B180E88}"/>
    <cellStyle name="40% - Accent2 3 4 4" xfId="9617" xr:uid="{EA39B014-D101-4FC7-B922-565EAB8A5FBA}"/>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53FB7FD3-1134-4CD8-8E72-DD575DCB5E64}"/>
    <cellStyle name="40% - Accent2 3 5 2 3" xfId="12175" xr:uid="{13A0E4BC-4DF1-4194-99B1-BD2B93A64FA3}"/>
    <cellStyle name="40% - Accent2 3 5 3" xfId="5806" xr:uid="{00000000-0005-0000-0000-0000D2040000}"/>
    <cellStyle name="40% - Accent2 3 5 3 2" xfId="14248" xr:uid="{650A953C-C07B-4B25-ACF3-766C8F712E2A}"/>
    <cellStyle name="40% - Accent2 3 5 4" xfId="10030" xr:uid="{5F51A34C-F974-44F8-8ED6-2ADFC740B880}"/>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EEBF4A4C-EE8B-4AE4-81E1-889AF255F403}"/>
    <cellStyle name="40% - Accent2 3 6 2 3" xfId="12588" xr:uid="{49AAA8A1-4355-42C0-AC8E-B25925BE65D8}"/>
    <cellStyle name="40% - Accent2 3 6 3" xfId="6219" xr:uid="{00000000-0005-0000-0000-0000D6040000}"/>
    <cellStyle name="40% - Accent2 3 6 3 2" xfId="14661" xr:uid="{2C1AD82E-6372-47B9-8E81-FD56003CDC77}"/>
    <cellStyle name="40% - Accent2 3 6 4" xfId="10443" xr:uid="{AF2580AB-2D4E-414A-B479-E37218D8957C}"/>
    <cellStyle name="40% - Accent2 3 7" xfId="2325" xr:uid="{00000000-0005-0000-0000-0000D7040000}"/>
    <cellStyle name="40% - Accent2 3 7 2" xfId="6632" xr:uid="{00000000-0005-0000-0000-0000D8040000}"/>
    <cellStyle name="40% - Accent2 3 7 2 2" xfId="15074" xr:uid="{8949D629-2449-4F98-B978-56F4DF78051B}"/>
    <cellStyle name="40% - Accent2 3 7 3" xfId="10856" xr:uid="{129510F5-F85B-489D-928C-F786AD0ECE3B}"/>
    <cellStyle name="40% - Accent2 3 8" xfId="4566" xr:uid="{00000000-0005-0000-0000-0000D9040000}"/>
    <cellStyle name="40% - Accent2 3 8 2" xfId="13008" xr:uid="{8CCFE7AD-3AFE-4BF4-ACAB-185E708EDB0D}"/>
    <cellStyle name="40% - Accent2 3 9" xfId="8790" xr:uid="{03DD5C9C-DE46-4476-813D-6F5101941BE4}"/>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532E7F1E-C6CD-4DD5-93DA-85B1A9E36970}"/>
    <cellStyle name="40% - Accent2 4 2 2 3" xfId="11351" xr:uid="{129EB938-008A-412D-B36B-DBB494FD7CF7}"/>
    <cellStyle name="40% - Accent2 4 2 3" xfId="4982" xr:uid="{00000000-0005-0000-0000-0000DE040000}"/>
    <cellStyle name="40% - Accent2 4 2 3 2" xfId="13424" xr:uid="{E62DC4EF-66A2-44F8-AE94-A212AB443480}"/>
    <cellStyle name="40% - Accent2 4 2 4" xfId="9206" xr:uid="{4A54241B-51B2-45F6-9B6E-6B92C07CA480}"/>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3431740A-3D3F-4649-80F2-8262D9990BC4}"/>
    <cellStyle name="40% - Accent2 4 3 2 3" xfId="11764" xr:uid="{A2398111-D4FD-4EEA-867F-3B38D01B142B}"/>
    <cellStyle name="40% - Accent2 4 3 3" xfId="5395" xr:uid="{00000000-0005-0000-0000-0000E2040000}"/>
    <cellStyle name="40% - Accent2 4 3 3 2" xfId="13837" xr:uid="{35971AF0-8493-4210-BC96-55E63B7E9AA0}"/>
    <cellStyle name="40% - Accent2 4 3 4" xfId="9619" xr:uid="{26935E51-39F2-467E-81C4-6E406A58307A}"/>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12EB1AF4-5541-4372-9168-1467B7EA2E78}"/>
    <cellStyle name="40% - Accent2 4 4 2 3" xfId="12177" xr:uid="{96C2AB19-DB0C-48C1-A70D-03B6DD39A157}"/>
    <cellStyle name="40% - Accent2 4 4 3" xfId="5808" xr:uid="{00000000-0005-0000-0000-0000E6040000}"/>
    <cellStyle name="40% - Accent2 4 4 3 2" xfId="14250" xr:uid="{24180DB2-76FC-4182-99B0-FEF19A915A78}"/>
    <cellStyle name="40% - Accent2 4 4 4" xfId="10032" xr:uid="{21151A05-2032-4CB3-908C-B508A1744490}"/>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847A70E0-017B-4C73-951F-55852469433D}"/>
    <cellStyle name="40% - Accent2 4 5 2 3" xfId="12590" xr:uid="{5CDF1088-A2D4-487F-A8AB-8B2930F1AA44}"/>
    <cellStyle name="40% - Accent2 4 5 3" xfId="6221" xr:uid="{00000000-0005-0000-0000-0000EA040000}"/>
    <cellStyle name="40% - Accent2 4 5 3 2" xfId="14663" xr:uid="{E3D050BC-FB22-4ABE-BE44-753F1A5EF88C}"/>
    <cellStyle name="40% - Accent2 4 5 4" xfId="10445" xr:uid="{BDFDAA4C-DB00-420E-8254-F4CFA73B7020}"/>
    <cellStyle name="40% - Accent2 4 6" xfId="2327" xr:uid="{00000000-0005-0000-0000-0000EB040000}"/>
    <cellStyle name="40% - Accent2 4 6 2" xfId="6634" xr:uid="{00000000-0005-0000-0000-0000EC040000}"/>
    <cellStyle name="40% - Accent2 4 6 2 2" xfId="15076" xr:uid="{459C0347-9B62-4330-B1A2-C8F37501337B}"/>
    <cellStyle name="40% - Accent2 4 6 3" xfId="10858" xr:uid="{367FF027-F302-410F-98EA-C17D8F783CC2}"/>
    <cellStyle name="40% - Accent2 4 7" xfId="4568" xr:uid="{00000000-0005-0000-0000-0000ED040000}"/>
    <cellStyle name="40% - Accent2 4 7 2" xfId="13010" xr:uid="{B16D98EA-6D88-4A95-BB8F-29A81C5874AF}"/>
    <cellStyle name="40% - Accent2 4 8" xfId="8792" xr:uid="{16EAF5B9-192F-4DAE-AB45-FD086D614DFF}"/>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AD31D58E-78F7-4184-865C-4CF0AE438165}"/>
    <cellStyle name="40% - Accent2 5 2 3" xfId="11344" xr:uid="{E275A84A-A3BB-4A22-B2C8-1F9BFCDB367E}"/>
    <cellStyle name="40% - Accent2 5 3" xfId="4975" xr:uid="{00000000-0005-0000-0000-0000F1040000}"/>
    <cellStyle name="40% - Accent2 5 3 2" xfId="13417" xr:uid="{F6F1E00F-F8DB-409C-8D83-81FEEE0D78F3}"/>
    <cellStyle name="40% - Accent2 5 4" xfId="9199" xr:uid="{1A4D156D-0293-411A-8489-63053ACB65B3}"/>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55AD857E-3A54-4C55-8F8A-E75D94904457}"/>
    <cellStyle name="40% - Accent2 6 2 3" xfId="11757" xr:uid="{E7C63326-4249-45C0-8D85-3987A970FC32}"/>
    <cellStyle name="40% - Accent2 6 3" xfId="5388" xr:uid="{00000000-0005-0000-0000-0000F5040000}"/>
    <cellStyle name="40% - Accent2 6 3 2" xfId="13830" xr:uid="{E1AFA219-79D7-4958-8380-E3F20E8D4686}"/>
    <cellStyle name="40% - Accent2 6 4" xfId="9612" xr:uid="{EFE20B5E-5325-4F24-B169-91545EF98FF2}"/>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095B12A9-1954-48F1-91DE-1F6DED67DC7D}"/>
    <cellStyle name="40% - Accent2 7 2 3" xfId="12170" xr:uid="{740F60FF-4992-4B78-847A-052381E2102C}"/>
    <cellStyle name="40% - Accent2 7 3" xfId="5801" xr:uid="{00000000-0005-0000-0000-0000F9040000}"/>
    <cellStyle name="40% - Accent2 7 3 2" xfId="14243" xr:uid="{2CBBDE53-F42D-4EF1-90A2-542D75B1BA4C}"/>
    <cellStyle name="40% - Accent2 7 4" xfId="10025" xr:uid="{B60B6E98-B3A2-464B-8724-DF86E0A8A232}"/>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048C7AEA-6933-463D-9979-EEB8F5054EF6}"/>
    <cellStyle name="40% - Accent2 8 2 3" xfId="12583" xr:uid="{D4D6659E-8EBD-4DBF-9609-63AFA17E2D21}"/>
    <cellStyle name="40% - Accent2 8 3" xfId="6214" xr:uid="{00000000-0005-0000-0000-0000FD040000}"/>
    <cellStyle name="40% - Accent2 8 3 2" xfId="14656" xr:uid="{822E6E07-C6C5-414F-807B-AF42DAB4D27E}"/>
    <cellStyle name="40% - Accent2 8 4" xfId="10438" xr:uid="{8F236941-797C-422E-BA17-F91ACEA4D0C6}"/>
    <cellStyle name="40% - Accent2 9" xfId="2320" xr:uid="{00000000-0005-0000-0000-0000FE040000}"/>
    <cellStyle name="40% - Accent2 9 2" xfId="6627" xr:uid="{00000000-0005-0000-0000-0000FF040000}"/>
    <cellStyle name="40% - Accent2 9 2 2" xfId="15069" xr:uid="{9891033C-769C-4945-9A48-960D39C7F005}"/>
    <cellStyle name="40% - Accent2 9 3" xfId="10851" xr:uid="{0B69DE19-A666-4249-B433-EE28949AA9E7}"/>
    <cellStyle name="40% - Accent3" xfId="65" builtinId="39" customBuiltin="1"/>
    <cellStyle name="40% - Accent3 10" xfId="4569" xr:uid="{00000000-0005-0000-0000-000001050000}"/>
    <cellStyle name="40% - Accent3 10 2" xfId="13011" xr:uid="{C0670770-DA34-4AB1-9847-35DC089EBAB0}"/>
    <cellStyle name="40% - Accent3 11" xfId="8793" xr:uid="{51EA5B01-7AB9-4DE0-BCEB-03022178213F}"/>
    <cellStyle name="40% - Accent3 2" xfId="66" xr:uid="{00000000-0005-0000-0000-000002050000}"/>
    <cellStyle name="40% - Accent3 2 10" xfId="8794" xr:uid="{99E949AA-EB12-4B15-8734-D5D653A58F82}"/>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CFBEA9EB-E6F2-4F4A-AE42-DA1B8AA3EF0C}"/>
    <cellStyle name="40% - Accent3 2 2 2 2 2 3" xfId="11355" xr:uid="{D02C8CF6-C7FF-48E9-A92B-A4AF1B7DD06C}"/>
    <cellStyle name="40% - Accent3 2 2 2 2 3" xfId="4986" xr:uid="{00000000-0005-0000-0000-000008050000}"/>
    <cellStyle name="40% - Accent3 2 2 2 2 3 2" xfId="13428" xr:uid="{075D8AF4-EE19-40FE-8D21-47C5631ED89E}"/>
    <cellStyle name="40% - Accent3 2 2 2 2 4" xfId="9210" xr:uid="{0FA6C416-41A8-4E57-B35D-6F0509D741DF}"/>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ECFB0C8A-5BF0-437C-9A08-E965DBD23CE9}"/>
    <cellStyle name="40% - Accent3 2 2 2 3 2 3" xfId="11768" xr:uid="{2C3D6881-E6BB-43C6-AA8A-674A00E33DA5}"/>
    <cellStyle name="40% - Accent3 2 2 2 3 3" xfId="5399" xr:uid="{00000000-0005-0000-0000-00000C050000}"/>
    <cellStyle name="40% - Accent3 2 2 2 3 3 2" xfId="13841" xr:uid="{75FBFD71-3D26-498D-8D56-4544E3936F65}"/>
    <cellStyle name="40% - Accent3 2 2 2 3 4" xfId="9623" xr:uid="{0E2F4529-0CA3-46D3-A188-0A1304E45123}"/>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29053840-73C1-4844-99BC-CCCB76A29056}"/>
    <cellStyle name="40% - Accent3 2 2 2 4 2 3" xfId="12181" xr:uid="{8D784105-CDC2-431D-812E-0F5BD56FD8C7}"/>
    <cellStyle name="40% - Accent3 2 2 2 4 3" xfId="5812" xr:uid="{00000000-0005-0000-0000-000010050000}"/>
    <cellStyle name="40% - Accent3 2 2 2 4 3 2" xfId="14254" xr:uid="{9924E40C-78DB-4693-A7FF-A97D9A378D49}"/>
    <cellStyle name="40% - Accent3 2 2 2 4 4" xfId="10036" xr:uid="{6E8C2E31-09AC-49AF-89FF-377BA683793B}"/>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32D26A87-25E3-410C-9853-3F06FB286DAE}"/>
    <cellStyle name="40% - Accent3 2 2 2 5 2 3" xfId="12594" xr:uid="{5516F7E2-FF3E-433A-B33E-35B109C9CA30}"/>
    <cellStyle name="40% - Accent3 2 2 2 5 3" xfId="6225" xr:uid="{00000000-0005-0000-0000-000014050000}"/>
    <cellStyle name="40% - Accent3 2 2 2 5 3 2" xfId="14667" xr:uid="{AD7830A3-CFA8-4012-9E2D-F5C4B8304E66}"/>
    <cellStyle name="40% - Accent3 2 2 2 5 4" xfId="10449" xr:uid="{40000F71-7D89-4D98-B0B3-803F30AFAC9B}"/>
    <cellStyle name="40% - Accent3 2 2 2 6" xfId="2331" xr:uid="{00000000-0005-0000-0000-000015050000}"/>
    <cellStyle name="40% - Accent3 2 2 2 6 2" xfId="6638" xr:uid="{00000000-0005-0000-0000-000016050000}"/>
    <cellStyle name="40% - Accent3 2 2 2 6 2 2" xfId="15080" xr:uid="{D27AE7D4-477D-44B5-944F-CC7BD76CEA47}"/>
    <cellStyle name="40% - Accent3 2 2 2 6 3" xfId="10862" xr:uid="{5438E25E-1CF0-4926-9AC6-FC4414207E4B}"/>
    <cellStyle name="40% - Accent3 2 2 2 7" xfId="4572" xr:uid="{00000000-0005-0000-0000-000017050000}"/>
    <cellStyle name="40% - Accent3 2 2 2 7 2" xfId="13014" xr:uid="{0FF8306D-1F9E-4DD4-AAA9-E870DD0381C9}"/>
    <cellStyle name="40% - Accent3 2 2 2 8" xfId="8796" xr:uid="{CD346B6C-12D8-4E54-B4A8-E3BC86434F85}"/>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5FD288A3-6120-4263-85F0-6C8A19A207BD}"/>
    <cellStyle name="40% - Accent3 2 2 3 2 3" xfId="11354" xr:uid="{B92AF2E6-E3F8-4427-86C2-1E421BDDE56D}"/>
    <cellStyle name="40% - Accent3 2 2 3 3" xfId="4985" xr:uid="{00000000-0005-0000-0000-00001B050000}"/>
    <cellStyle name="40% - Accent3 2 2 3 3 2" xfId="13427" xr:uid="{A90FF85A-7FED-4C68-A455-DCAC76508C35}"/>
    <cellStyle name="40% - Accent3 2 2 3 4" xfId="9209" xr:uid="{4086CA2D-193B-43B7-8085-DC1D202350D2}"/>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6F294297-6D3A-492A-AB67-697799E039A2}"/>
    <cellStyle name="40% - Accent3 2 2 4 2 3" xfId="11767" xr:uid="{7C051ADE-376E-495D-9450-4B41DD69454C}"/>
    <cellStyle name="40% - Accent3 2 2 4 3" xfId="5398" xr:uid="{00000000-0005-0000-0000-00001F050000}"/>
    <cellStyle name="40% - Accent3 2 2 4 3 2" xfId="13840" xr:uid="{70B8C0DE-3A58-409D-A48E-F217FBA13448}"/>
    <cellStyle name="40% - Accent3 2 2 4 4" xfId="9622" xr:uid="{AE99B64F-79BF-49A9-90D8-E6A853A7CDAF}"/>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38B60EE6-0950-4935-AE2D-6D5F1782BDE9}"/>
    <cellStyle name="40% - Accent3 2 2 5 2 3" xfId="12180" xr:uid="{0F33F4B7-2B8F-4385-B304-2444D179D3B5}"/>
    <cellStyle name="40% - Accent3 2 2 5 3" xfId="5811" xr:uid="{00000000-0005-0000-0000-000023050000}"/>
    <cellStyle name="40% - Accent3 2 2 5 3 2" xfId="14253" xr:uid="{0FD9B253-5574-439F-8CDA-B8D7B39E2D5E}"/>
    <cellStyle name="40% - Accent3 2 2 5 4" xfId="10035" xr:uid="{15A0419A-A2AA-47D5-A374-E3AA0485748A}"/>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B1C2EA47-AEDA-483C-BD3A-7886F4BE2F4C}"/>
    <cellStyle name="40% - Accent3 2 2 6 2 3" xfId="12593" xr:uid="{0F327475-49B0-4350-BB9D-05767D8A3503}"/>
    <cellStyle name="40% - Accent3 2 2 6 3" xfId="6224" xr:uid="{00000000-0005-0000-0000-000027050000}"/>
    <cellStyle name="40% - Accent3 2 2 6 3 2" xfId="14666" xr:uid="{F352E08D-937A-4B96-99E1-A86C84D2F904}"/>
    <cellStyle name="40% - Accent3 2 2 6 4" xfId="10448" xr:uid="{1D984991-4131-45D5-8445-D958E1C3C40F}"/>
    <cellStyle name="40% - Accent3 2 2 7" xfId="2330" xr:uid="{00000000-0005-0000-0000-000028050000}"/>
    <cellStyle name="40% - Accent3 2 2 7 2" xfId="6637" xr:uid="{00000000-0005-0000-0000-000029050000}"/>
    <cellStyle name="40% - Accent3 2 2 7 2 2" xfId="15079" xr:uid="{1C9A9B51-8B71-4F14-A88B-0CDD25188B40}"/>
    <cellStyle name="40% - Accent3 2 2 7 3" xfId="10861" xr:uid="{496B4915-BB3E-4C42-858B-7EBD9CDCA66A}"/>
    <cellStyle name="40% - Accent3 2 2 8" xfId="4571" xr:uid="{00000000-0005-0000-0000-00002A050000}"/>
    <cellStyle name="40% - Accent3 2 2 8 2" xfId="13013" xr:uid="{80722A45-94C8-4A26-BDB8-DB8909BFFC22}"/>
    <cellStyle name="40% - Accent3 2 2 9" xfId="8795" xr:uid="{314E4415-F62E-4A9D-92A6-F7123F789519}"/>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CA908D22-F565-498E-91AB-2BD31761F993}"/>
    <cellStyle name="40% - Accent3 2 3 2 2 3" xfId="11356" xr:uid="{149DEE4E-4924-4807-A46E-FA81113B6B12}"/>
    <cellStyle name="40% - Accent3 2 3 2 3" xfId="4987" xr:uid="{00000000-0005-0000-0000-00002F050000}"/>
    <cellStyle name="40% - Accent3 2 3 2 3 2" xfId="13429" xr:uid="{8B8F4A8B-D1B5-4967-A05A-82A26DAF5093}"/>
    <cellStyle name="40% - Accent3 2 3 2 4" xfId="9211" xr:uid="{A884DE7C-2F5C-4421-B951-D81356BB43FD}"/>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7698C1FC-FD2D-46E1-8656-B402BCDF4D63}"/>
    <cellStyle name="40% - Accent3 2 3 3 2 3" xfId="11769" xr:uid="{73ED886A-CB77-4099-841B-78D70E51F5FE}"/>
    <cellStyle name="40% - Accent3 2 3 3 3" xfId="5400" xr:uid="{00000000-0005-0000-0000-000033050000}"/>
    <cellStyle name="40% - Accent3 2 3 3 3 2" xfId="13842" xr:uid="{43320931-623F-4306-8AAC-989227437CA1}"/>
    <cellStyle name="40% - Accent3 2 3 3 4" xfId="9624" xr:uid="{1D5FB789-E000-4D6F-9342-EBC580A1E609}"/>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3A588CDE-6D59-41B9-8E9C-6FB5934B0BB1}"/>
    <cellStyle name="40% - Accent3 2 3 4 2 3" xfId="12182" xr:uid="{B224F4E8-F28D-4DA7-82F8-EC6E374562D0}"/>
    <cellStyle name="40% - Accent3 2 3 4 3" xfId="5813" xr:uid="{00000000-0005-0000-0000-000037050000}"/>
    <cellStyle name="40% - Accent3 2 3 4 3 2" xfId="14255" xr:uid="{F34BE089-582B-43D1-B521-BBA0D45CFD71}"/>
    <cellStyle name="40% - Accent3 2 3 4 4" xfId="10037" xr:uid="{37D87FEA-BD74-463B-B82B-F31E6DDCDB94}"/>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1C23EAE9-2140-4AD6-BB6F-CB9AED8351DD}"/>
    <cellStyle name="40% - Accent3 2 3 5 2 3" xfId="12595" xr:uid="{247FA582-4DA7-4A28-91A6-8D1EE305867B}"/>
    <cellStyle name="40% - Accent3 2 3 5 3" xfId="6226" xr:uid="{00000000-0005-0000-0000-00003B050000}"/>
    <cellStyle name="40% - Accent3 2 3 5 3 2" xfId="14668" xr:uid="{DFBC3F01-9AD5-4AD6-B9A6-4899237093AF}"/>
    <cellStyle name="40% - Accent3 2 3 5 4" xfId="10450" xr:uid="{04BE0CBE-CD3E-40DA-B248-67D450D8D801}"/>
    <cellStyle name="40% - Accent3 2 3 6" xfId="2332" xr:uid="{00000000-0005-0000-0000-00003C050000}"/>
    <cellStyle name="40% - Accent3 2 3 6 2" xfId="6639" xr:uid="{00000000-0005-0000-0000-00003D050000}"/>
    <cellStyle name="40% - Accent3 2 3 6 2 2" xfId="15081" xr:uid="{0D165548-B485-409C-AC8C-9D6159061F9F}"/>
    <cellStyle name="40% - Accent3 2 3 6 3" xfId="10863" xr:uid="{B77E65C0-0776-4BB9-8623-F06AED94F6B9}"/>
    <cellStyle name="40% - Accent3 2 3 7" xfId="4573" xr:uid="{00000000-0005-0000-0000-00003E050000}"/>
    <cellStyle name="40% - Accent3 2 3 7 2" xfId="13015" xr:uid="{DF2BA0D4-F858-4689-BB8E-031DA72DB35A}"/>
    <cellStyle name="40% - Accent3 2 3 8" xfId="8797" xr:uid="{C20FEF30-0192-42DC-9759-732FEF0096D9}"/>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92D768C5-4FBB-45AE-A80F-E86D19427D51}"/>
    <cellStyle name="40% - Accent3 2 4 2 3" xfId="11353" xr:uid="{4AE9DB94-9636-4243-ACC7-0B79A71726D9}"/>
    <cellStyle name="40% - Accent3 2 4 3" xfId="4984" xr:uid="{00000000-0005-0000-0000-000042050000}"/>
    <cellStyle name="40% - Accent3 2 4 3 2" xfId="13426" xr:uid="{22E4166E-3DD2-4539-8D2F-A9ECC3EA295A}"/>
    <cellStyle name="40% - Accent3 2 4 4" xfId="9208" xr:uid="{6F647F9F-6061-48C2-884B-B8395FEDB394}"/>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877D10BF-4AF6-4D0E-963B-BC80804054F3}"/>
    <cellStyle name="40% - Accent3 2 5 2 3" xfId="11766" xr:uid="{BB05B68F-C486-4E53-94ED-384C224F5CFD}"/>
    <cellStyle name="40% - Accent3 2 5 3" xfId="5397" xr:uid="{00000000-0005-0000-0000-000046050000}"/>
    <cellStyle name="40% - Accent3 2 5 3 2" xfId="13839" xr:uid="{691DC358-7D2D-4C5A-BDD9-CB66F37D4233}"/>
    <cellStyle name="40% - Accent3 2 5 4" xfId="9621" xr:uid="{7ADB6FA5-CABA-4E3B-B4D4-78483D3D2B97}"/>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CA5F3761-25E2-4514-8A1C-E7459E8B41AC}"/>
    <cellStyle name="40% - Accent3 2 6 2 3" xfId="12179" xr:uid="{5D27CC7F-337E-4BEA-8DD3-BB2A94BB4B73}"/>
    <cellStyle name="40% - Accent3 2 6 3" xfId="5810" xr:uid="{00000000-0005-0000-0000-00004A050000}"/>
    <cellStyle name="40% - Accent3 2 6 3 2" xfId="14252" xr:uid="{9CB353B4-538B-4EA4-9BF8-3B4CFAC3538D}"/>
    <cellStyle name="40% - Accent3 2 6 4" xfId="10034" xr:uid="{20CD52B6-2AD3-429F-9E4B-071EA03F5F91}"/>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F224DF9D-6894-4EC2-A423-3BBDDEA9CE09}"/>
    <cellStyle name="40% - Accent3 2 7 2 3" xfId="12592" xr:uid="{443A5102-B5A5-44F2-8036-81A191657742}"/>
    <cellStyle name="40% - Accent3 2 7 3" xfId="6223" xr:uid="{00000000-0005-0000-0000-00004E050000}"/>
    <cellStyle name="40% - Accent3 2 7 3 2" xfId="14665" xr:uid="{91FAC7CA-EEA1-4375-828A-E1B4B503867A}"/>
    <cellStyle name="40% - Accent3 2 7 4" xfId="10447" xr:uid="{5E303B7C-3BDC-428D-9DD8-3BED75E8755A}"/>
    <cellStyle name="40% - Accent3 2 8" xfId="2329" xr:uid="{00000000-0005-0000-0000-00004F050000}"/>
    <cellStyle name="40% - Accent3 2 8 2" xfId="6636" xr:uid="{00000000-0005-0000-0000-000050050000}"/>
    <cellStyle name="40% - Accent3 2 8 2 2" xfId="15078" xr:uid="{52D37F20-FC2F-4FEC-8131-D7668E0F7DF4}"/>
    <cellStyle name="40% - Accent3 2 8 3" xfId="10860" xr:uid="{FE685279-03BD-480A-89A4-89D3B8B67FB9}"/>
    <cellStyle name="40% - Accent3 2 9" xfId="4570" xr:uid="{00000000-0005-0000-0000-000051050000}"/>
    <cellStyle name="40% - Accent3 2 9 2" xfId="13012" xr:uid="{0763463C-BAFE-40E9-8EE5-F5D0177B76DF}"/>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F5357101-E45F-44CF-A57E-76069FC2B2F3}"/>
    <cellStyle name="40% - Accent3 3 2 2 2 3" xfId="11358" xr:uid="{2EEF12E7-0619-406A-B4F4-FB6FF755C7D4}"/>
    <cellStyle name="40% - Accent3 3 2 2 3" xfId="4989" xr:uid="{00000000-0005-0000-0000-000057050000}"/>
    <cellStyle name="40% - Accent3 3 2 2 3 2" xfId="13431" xr:uid="{70F00957-750D-4AC2-A16D-B8982E2DD84F}"/>
    <cellStyle name="40% - Accent3 3 2 2 4" xfId="9213" xr:uid="{E3AA5834-AF15-41EF-A71D-7C3D219D14CA}"/>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12C336B2-203D-49FD-8C15-3D96E41CE111}"/>
    <cellStyle name="40% - Accent3 3 2 3 2 3" xfId="11771" xr:uid="{0F418BCC-7957-4C45-897D-96D401414539}"/>
    <cellStyle name="40% - Accent3 3 2 3 3" xfId="5402" xr:uid="{00000000-0005-0000-0000-00005B050000}"/>
    <cellStyle name="40% - Accent3 3 2 3 3 2" xfId="13844" xr:uid="{0D387F23-0FC4-4004-965E-D98B60B68C1E}"/>
    <cellStyle name="40% - Accent3 3 2 3 4" xfId="9626" xr:uid="{4BF28AA1-AD18-4983-A083-35762BA06D19}"/>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C3F80F39-A358-4C78-981A-19C8AD5EE335}"/>
    <cellStyle name="40% - Accent3 3 2 4 2 3" xfId="12184" xr:uid="{D7FD2FA1-6652-4D98-A37B-1E0F955930BF}"/>
    <cellStyle name="40% - Accent3 3 2 4 3" xfId="5815" xr:uid="{00000000-0005-0000-0000-00005F050000}"/>
    <cellStyle name="40% - Accent3 3 2 4 3 2" xfId="14257" xr:uid="{9E4E8754-5970-4B37-9538-17022F001B80}"/>
    <cellStyle name="40% - Accent3 3 2 4 4" xfId="10039" xr:uid="{5EC9B433-7CBA-41F5-A9B6-2B4471FD217A}"/>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B9E1E852-D547-41E8-B980-85D14474E3E3}"/>
    <cellStyle name="40% - Accent3 3 2 5 2 3" xfId="12597" xr:uid="{BA2AD61D-06A4-46D6-ABCD-534C73DE45FD}"/>
    <cellStyle name="40% - Accent3 3 2 5 3" xfId="6228" xr:uid="{00000000-0005-0000-0000-000063050000}"/>
    <cellStyle name="40% - Accent3 3 2 5 3 2" xfId="14670" xr:uid="{9DF27909-7D43-4F30-8332-9BA1C2807856}"/>
    <cellStyle name="40% - Accent3 3 2 5 4" xfId="10452" xr:uid="{EDF977E0-A769-42BA-97C3-D1914896A9D0}"/>
    <cellStyle name="40% - Accent3 3 2 6" xfId="2334" xr:uid="{00000000-0005-0000-0000-000064050000}"/>
    <cellStyle name="40% - Accent3 3 2 6 2" xfId="6641" xr:uid="{00000000-0005-0000-0000-000065050000}"/>
    <cellStyle name="40% - Accent3 3 2 6 2 2" xfId="15083" xr:uid="{28DAC6CD-ED34-4757-ACB5-243391C1EF35}"/>
    <cellStyle name="40% - Accent3 3 2 6 3" xfId="10865" xr:uid="{52A2FE66-71EF-428A-B861-3A983E78CF79}"/>
    <cellStyle name="40% - Accent3 3 2 7" xfId="4575" xr:uid="{00000000-0005-0000-0000-000066050000}"/>
    <cellStyle name="40% - Accent3 3 2 7 2" xfId="13017" xr:uid="{1E2B4005-E661-4636-B25B-18105880D4CA}"/>
    <cellStyle name="40% - Accent3 3 2 8" xfId="8799" xr:uid="{4323D060-44B5-4BF2-B331-B7C3778195EF}"/>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C05847D1-6E09-4B40-B3F2-B7822DAB96E3}"/>
    <cellStyle name="40% - Accent3 3 3 2 3" xfId="11357" xr:uid="{A4558EF7-73FA-4235-9842-383CA87ACF7B}"/>
    <cellStyle name="40% - Accent3 3 3 3" xfId="4988" xr:uid="{00000000-0005-0000-0000-00006A050000}"/>
    <cellStyle name="40% - Accent3 3 3 3 2" xfId="13430" xr:uid="{AF410C1B-CC29-4707-9017-1C2B0A3FCA2A}"/>
    <cellStyle name="40% - Accent3 3 3 4" xfId="9212" xr:uid="{7F6D5F33-43B4-4145-B8A3-71EFAA7C20BE}"/>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AA78CC5E-C1FB-42F4-927B-D08ED4FA3D8E}"/>
    <cellStyle name="40% - Accent3 3 4 2 3" xfId="11770" xr:uid="{2F1522D7-CE45-4529-957B-28C888BEFF19}"/>
    <cellStyle name="40% - Accent3 3 4 3" xfId="5401" xr:uid="{00000000-0005-0000-0000-00006E050000}"/>
    <cellStyle name="40% - Accent3 3 4 3 2" xfId="13843" xr:uid="{44942149-84EA-46FC-9212-48E9B29DC2FF}"/>
    <cellStyle name="40% - Accent3 3 4 4" xfId="9625" xr:uid="{D23C5B40-00FC-48D6-9C6F-FCD1CACDA60D}"/>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7922E619-582E-4F70-B12E-7E77531CBC62}"/>
    <cellStyle name="40% - Accent3 3 5 2 3" xfId="12183" xr:uid="{0F661CC6-9BB8-41F0-8689-CF4CF92B48EF}"/>
    <cellStyle name="40% - Accent3 3 5 3" xfId="5814" xr:uid="{00000000-0005-0000-0000-000072050000}"/>
    <cellStyle name="40% - Accent3 3 5 3 2" xfId="14256" xr:uid="{F94B2470-78E2-4A76-B797-556860D668ED}"/>
    <cellStyle name="40% - Accent3 3 5 4" xfId="10038" xr:uid="{1D27D78F-BF4A-4BB0-8B9A-51D752E2A746}"/>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0AB3A32D-9DCB-422C-9719-D9E5AD49C033}"/>
    <cellStyle name="40% - Accent3 3 6 2 3" xfId="12596" xr:uid="{08A4812D-830D-46B0-8F73-CA059714BC92}"/>
    <cellStyle name="40% - Accent3 3 6 3" xfId="6227" xr:uid="{00000000-0005-0000-0000-000076050000}"/>
    <cellStyle name="40% - Accent3 3 6 3 2" xfId="14669" xr:uid="{A879C9A6-B8C7-46A7-B0BF-52FA822CE6A2}"/>
    <cellStyle name="40% - Accent3 3 6 4" xfId="10451" xr:uid="{DD923F4F-2FBA-4266-B2B4-256CC50DF435}"/>
    <cellStyle name="40% - Accent3 3 7" xfId="2333" xr:uid="{00000000-0005-0000-0000-000077050000}"/>
    <cellStyle name="40% - Accent3 3 7 2" xfId="6640" xr:uid="{00000000-0005-0000-0000-000078050000}"/>
    <cellStyle name="40% - Accent3 3 7 2 2" xfId="15082" xr:uid="{CB35B568-C543-4C47-A8BF-7D22F4E10D1C}"/>
    <cellStyle name="40% - Accent3 3 7 3" xfId="10864" xr:uid="{00C2D86C-8759-4B86-8504-A318A11E4AFC}"/>
    <cellStyle name="40% - Accent3 3 8" xfId="4574" xr:uid="{00000000-0005-0000-0000-000079050000}"/>
    <cellStyle name="40% - Accent3 3 8 2" xfId="13016" xr:uid="{1EAAB835-DDA2-4723-8E9D-27693FBCDE14}"/>
    <cellStyle name="40% - Accent3 3 9" xfId="8798" xr:uid="{ABC0CBD5-BDBB-4A57-8071-0DC8F6789CEA}"/>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555087FD-B64E-4D09-BB47-7240CA0E9B61}"/>
    <cellStyle name="40% - Accent3 4 2 2 3" xfId="11359" xr:uid="{4770C1B6-23CA-4C7A-A44D-F86774A0FB94}"/>
    <cellStyle name="40% - Accent3 4 2 3" xfId="4990" xr:uid="{00000000-0005-0000-0000-00007E050000}"/>
    <cellStyle name="40% - Accent3 4 2 3 2" xfId="13432" xr:uid="{FC41F203-823A-4486-8281-A37035155199}"/>
    <cellStyle name="40% - Accent3 4 2 4" xfId="9214" xr:uid="{A06C0BF9-E7D3-4D8E-A518-35B5EE336129}"/>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F9645252-D3C5-4407-BB6F-00F5FA1DF9CB}"/>
    <cellStyle name="40% - Accent3 4 3 2 3" xfId="11772" xr:uid="{128E1D2F-FD6E-4E98-BB34-F3CF05F38767}"/>
    <cellStyle name="40% - Accent3 4 3 3" xfId="5403" xr:uid="{00000000-0005-0000-0000-000082050000}"/>
    <cellStyle name="40% - Accent3 4 3 3 2" xfId="13845" xr:uid="{1EEC72C1-5AFD-4CD1-9869-F261368C5078}"/>
    <cellStyle name="40% - Accent3 4 3 4" xfId="9627" xr:uid="{CB0AC791-668F-4AEB-A352-7253934BD813}"/>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4709273D-AD31-4C7C-A98D-B8FE3B9737AB}"/>
    <cellStyle name="40% - Accent3 4 4 2 3" xfId="12185" xr:uid="{9C753929-CBD9-4DAB-86D8-10BCDBEC0F76}"/>
    <cellStyle name="40% - Accent3 4 4 3" xfId="5816" xr:uid="{00000000-0005-0000-0000-000086050000}"/>
    <cellStyle name="40% - Accent3 4 4 3 2" xfId="14258" xr:uid="{6C2833EE-94CB-4A0C-B6EC-5DA55B8169A8}"/>
    <cellStyle name="40% - Accent3 4 4 4" xfId="10040" xr:uid="{2FA83BD4-5D2B-45EC-8D53-8C68CD85849B}"/>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30593207-E397-4B1A-AE20-BCA373534A96}"/>
    <cellStyle name="40% - Accent3 4 5 2 3" xfId="12598" xr:uid="{C8677CD2-24C7-4390-8BB5-B9AE203372C3}"/>
    <cellStyle name="40% - Accent3 4 5 3" xfId="6229" xr:uid="{00000000-0005-0000-0000-00008A050000}"/>
    <cellStyle name="40% - Accent3 4 5 3 2" xfId="14671" xr:uid="{A72DB392-C3EE-4A52-8B86-9F0F56302424}"/>
    <cellStyle name="40% - Accent3 4 5 4" xfId="10453" xr:uid="{01E6705D-9A83-4CD3-A358-A872F391C3FD}"/>
    <cellStyle name="40% - Accent3 4 6" xfId="2335" xr:uid="{00000000-0005-0000-0000-00008B050000}"/>
    <cellStyle name="40% - Accent3 4 6 2" xfId="6642" xr:uid="{00000000-0005-0000-0000-00008C050000}"/>
    <cellStyle name="40% - Accent3 4 6 2 2" xfId="15084" xr:uid="{E21E2C03-58C2-4FA4-9268-03E7C25F2C27}"/>
    <cellStyle name="40% - Accent3 4 6 3" xfId="10866" xr:uid="{6E9062DE-793B-4A3A-BB27-2986C5D2BA27}"/>
    <cellStyle name="40% - Accent3 4 7" xfId="4576" xr:uid="{00000000-0005-0000-0000-00008D050000}"/>
    <cellStyle name="40% - Accent3 4 7 2" xfId="13018" xr:uid="{1E2972F6-5C5C-458B-A148-187E4CDE4C39}"/>
    <cellStyle name="40% - Accent3 4 8" xfId="8800" xr:uid="{D73E8596-39B3-4EFB-B1C3-61EB5800D2E2}"/>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84A756C7-D514-4E47-8B9A-5CFDF8F321FF}"/>
    <cellStyle name="40% - Accent3 5 2 3" xfId="11352" xr:uid="{18B80C8D-FF8F-4C51-8B10-983846FFAEEF}"/>
    <cellStyle name="40% - Accent3 5 3" xfId="4983" xr:uid="{00000000-0005-0000-0000-000091050000}"/>
    <cellStyle name="40% - Accent3 5 3 2" xfId="13425" xr:uid="{1EAF3419-9F3E-4C77-8DA5-F76276B2D530}"/>
    <cellStyle name="40% - Accent3 5 4" xfId="9207" xr:uid="{E033A92E-0429-43C8-A9AD-DEDA29B595D6}"/>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518BF351-30EC-4380-B5BB-897FE1235662}"/>
    <cellStyle name="40% - Accent3 6 2 3" xfId="11765" xr:uid="{4A78A467-5076-4192-A133-7059F0235D25}"/>
    <cellStyle name="40% - Accent3 6 3" xfId="5396" xr:uid="{00000000-0005-0000-0000-000095050000}"/>
    <cellStyle name="40% - Accent3 6 3 2" xfId="13838" xr:uid="{81480298-B773-4A1D-90E9-69B66866A26E}"/>
    <cellStyle name="40% - Accent3 6 4" xfId="9620" xr:uid="{9C7BDF51-9904-4885-9898-65043626243D}"/>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E2AA6374-1047-4DC0-978A-0D02404E23F4}"/>
    <cellStyle name="40% - Accent3 7 2 3" xfId="12178" xr:uid="{3FD7B405-B2E3-4557-A0EE-D6B1F5D33BE6}"/>
    <cellStyle name="40% - Accent3 7 3" xfId="5809" xr:uid="{00000000-0005-0000-0000-000099050000}"/>
    <cellStyle name="40% - Accent3 7 3 2" xfId="14251" xr:uid="{47E89B78-229F-4C18-BE61-648AE8AB0958}"/>
    <cellStyle name="40% - Accent3 7 4" xfId="10033" xr:uid="{95E7E8AC-B2D6-4874-BB68-4C1CBFCB331B}"/>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163C10BB-EEA7-485C-8F37-BC674497E34B}"/>
    <cellStyle name="40% - Accent3 8 2 3" xfId="12591" xr:uid="{92CB592C-E267-444F-9ABD-DA1CF0977AB6}"/>
    <cellStyle name="40% - Accent3 8 3" xfId="6222" xr:uid="{00000000-0005-0000-0000-00009D050000}"/>
    <cellStyle name="40% - Accent3 8 3 2" xfId="14664" xr:uid="{D09916DD-A6B9-47AC-882F-BD1137CED9E0}"/>
    <cellStyle name="40% - Accent3 8 4" xfId="10446" xr:uid="{87FBFB59-A9A3-4B3E-BA97-504AB0547FEB}"/>
    <cellStyle name="40% - Accent3 9" xfId="2328" xr:uid="{00000000-0005-0000-0000-00009E050000}"/>
    <cellStyle name="40% - Accent3 9 2" xfId="6635" xr:uid="{00000000-0005-0000-0000-00009F050000}"/>
    <cellStyle name="40% - Accent3 9 2 2" xfId="15077" xr:uid="{EA795FF0-7231-4C4F-82FB-99F0C9A20470}"/>
    <cellStyle name="40% - Accent3 9 3" xfId="10859" xr:uid="{85A4E7B0-41A3-4C87-B40D-351AA0F21BA0}"/>
    <cellStyle name="40% - Accent4" xfId="73" builtinId="43" customBuiltin="1"/>
    <cellStyle name="40% - Accent4 10" xfId="4577" xr:uid="{00000000-0005-0000-0000-0000A1050000}"/>
    <cellStyle name="40% - Accent4 10 2" xfId="13019" xr:uid="{9B9AE4A2-A73A-4824-9AA7-7206991992DA}"/>
    <cellStyle name="40% - Accent4 11" xfId="8801" xr:uid="{7A2435EF-875E-4424-9666-64A7EFEBD3CE}"/>
    <cellStyle name="40% - Accent4 2" xfId="74" xr:uid="{00000000-0005-0000-0000-0000A2050000}"/>
    <cellStyle name="40% - Accent4 2 10" xfId="8802" xr:uid="{B7221D61-1F56-4178-A532-D52DB4FBDB7F}"/>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4731B937-5EAA-4295-8D7C-26E6394BFE45}"/>
    <cellStyle name="40% - Accent4 2 2 2 2 2 3" xfId="11363" xr:uid="{5536109A-74F1-4C69-A214-ED2A0CEEB33D}"/>
    <cellStyle name="40% - Accent4 2 2 2 2 3" xfId="4994" xr:uid="{00000000-0005-0000-0000-0000A8050000}"/>
    <cellStyle name="40% - Accent4 2 2 2 2 3 2" xfId="13436" xr:uid="{13C60C73-D496-403D-8F87-2AA163FF4ED3}"/>
    <cellStyle name="40% - Accent4 2 2 2 2 4" xfId="9218" xr:uid="{F6B44680-5F53-4000-B8BD-9B7CE82E530E}"/>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62F415E3-EE98-40B0-A5F9-B4D39AEEAF12}"/>
    <cellStyle name="40% - Accent4 2 2 2 3 2 3" xfId="11776" xr:uid="{8FAA3341-979E-470A-97F4-D777CFB847F1}"/>
    <cellStyle name="40% - Accent4 2 2 2 3 3" xfId="5407" xr:uid="{00000000-0005-0000-0000-0000AC050000}"/>
    <cellStyle name="40% - Accent4 2 2 2 3 3 2" xfId="13849" xr:uid="{3069CF01-AD6E-4E4F-AC36-450C93DA45E4}"/>
    <cellStyle name="40% - Accent4 2 2 2 3 4" xfId="9631" xr:uid="{91AA12B5-5319-4015-B7EC-BC05CAD9FB0B}"/>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9DA2ACFF-958B-47C2-A02F-4B4D98A0B9BC}"/>
    <cellStyle name="40% - Accent4 2 2 2 4 2 3" xfId="12189" xr:uid="{55E8BA75-4634-4FC2-946B-7278D1D3B769}"/>
    <cellStyle name="40% - Accent4 2 2 2 4 3" xfId="5820" xr:uid="{00000000-0005-0000-0000-0000B0050000}"/>
    <cellStyle name="40% - Accent4 2 2 2 4 3 2" xfId="14262" xr:uid="{E1C327AB-D2AE-4492-964A-EB6914BD21A5}"/>
    <cellStyle name="40% - Accent4 2 2 2 4 4" xfId="10044" xr:uid="{92852175-76A7-44CB-9003-A37D52D98ED3}"/>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7C786C62-B6AC-45D3-9192-C5751D992FD4}"/>
    <cellStyle name="40% - Accent4 2 2 2 5 2 3" xfId="12602" xr:uid="{D030F928-9636-46ED-824B-5BF61CE09073}"/>
    <cellStyle name="40% - Accent4 2 2 2 5 3" xfId="6233" xr:uid="{00000000-0005-0000-0000-0000B4050000}"/>
    <cellStyle name="40% - Accent4 2 2 2 5 3 2" xfId="14675" xr:uid="{2F61B491-C8D1-4F38-A32E-8E60AD3254CC}"/>
    <cellStyle name="40% - Accent4 2 2 2 5 4" xfId="10457" xr:uid="{713BE02B-E973-4E30-9262-D771A2BA318D}"/>
    <cellStyle name="40% - Accent4 2 2 2 6" xfId="2339" xr:uid="{00000000-0005-0000-0000-0000B5050000}"/>
    <cellStyle name="40% - Accent4 2 2 2 6 2" xfId="6646" xr:uid="{00000000-0005-0000-0000-0000B6050000}"/>
    <cellStyle name="40% - Accent4 2 2 2 6 2 2" xfId="15088" xr:uid="{1A5A28FC-4B7B-43AF-A1ED-C770CD797EA2}"/>
    <cellStyle name="40% - Accent4 2 2 2 6 3" xfId="10870" xr:uid="{A77643FA-B235-4E50-AA67-28FB470B2046}"/>
    <cellStyle name="40% - Accent4 2 2 2 7" xfId="4580" xr:uid="{00000000-0005-0000-0000-0000B7050000}"/>
    <cellStyle name="40% - Accent4 2 2 2 7 2" xfId="13022" xr:uid="{1613489B-EE49-4736-920D-0068553F034C}"/>
    <cellStyle name="40% - Accent4 2 2 2 8" xfId="8804" xr:uid="{BED36775-F55C-4244-BF3D-1F943A236903}"/>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80E58D2C-2040-4127-AD6F-F6A8ED93AB37}"/>
    <cellStyle name="40% - Accent4 2 2 3 2 3" xfId="11362" xr:uid="{1251FABA-C9C7-4BD3-9E3C-38EB23DC59F9}"/>
    <cellStyle name="40% - Accent4 2 2 3 3" xfId="4993" xr:uid="{00000000-0005-0000-0000-0000BB050000}"/>
    <cellStyle name="40% - Accent4 2 2 3 3 2" xfId="13435" xr:uid="{B29ED533-9B94-41AE-8CC4-F66C6DCC054F}"/>
    <cellStyle name="40% - Accent4 2 2 3 4" xfId="9217" xr:uid="{96719655-9CEF-4C50-BD5A-12F1EA849DDF}"/>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207421C8-F4B8-461C-AE95-ECCC1936F7B4}"/>
    <cellStyle name="40% - Accent4 2 2 4 2 3" xfId="11775" xr:uid="{B052DABF-9654-4325-B4EB-7590B5B15A4B}"/>
    <cellStyle name="40% - Accent4 2 2 4 3" xfId="5406" xr:uid="{00000000-0005-0000-0000-0000BF050000}"/>
    <cellStyle name="40% - Accent4 2 2 4 3 2" xfId="13848" xr:uid="{B0AF4895-4657-41EC-AAED-A19BF5DB797E}"/>
    <cellStyle name="40% - Accent4 2 2 4 4" xfId="9630" xr:uid="{87E3C46C-39AB-45A6-9139-4370B0F850A1}"/>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D028E75F-879E-4258-B03C-7284793D17FD}"/>
    <cellStyle name="40% - Accent4 2 2 5 2 3" xfId="12188" xr:uid="{8B28D9B1-D8B9-4C88-9C89-9E65F4979522}"/>
    <cellStyle name="40% - Accent4 2 2 5 3" xfId="5819" xr:uid="{00000000-0005-0000-0000-0000C3050000}"/>
    <cellStyle name="40% - Accent4 2 2 5 3 2" xfId="14261" xr:uid="{A1BE575C-7520-479D-AFC0-23667C8FA666}"/>
    <cellStyle name="40% - Accent4 2 2 5 4" xfId="10043" xr:uid="{5678E46E-D234-4856-A656-07E588C9D500}"/>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25114D0C-CA4C-4561-A0B0-C5C6C95FCB46}"/>
    <cellStyle name="40% - Accent4 2 2 6 2 3" xfId="12601" xr:uid="{CAE38ED2-3A9D-41A3-B14B-6EBE78A3AF58}"/>
    <cellStyle name="40% - Accent4 2 2 6 3" xfId="6232" xr:uid="{00000000-0005-0000-0000-0000C7050000}"/>
    <cellStyle name="40% - Accent4 2 2 6 3 2" xfId="14674" xr:uid="{F6188233-DCAD-4F64-9C31-B6C63E2B5B4B}"/>
    <cellStyle name="40% - Accent4 2 2 6 4" xfId="10456" xr:uid="{0E433D8D-F195-46A4-AD7A-43D00E5ABCCA}"/>
    <cellStyle name="40% - Accent4 2 2 7" xfId="2338" xr:uid="{00000000-0005-0000-0000-0000C8050000}"/>
    <cellStyle name="40% - Accent4 2 2 7 2" xfId="6645" xr:uid="{00000000-0005-0000-0000-0000C9050000}"/>
    <cellStyle name="40% - Accent4 2 2 7 2 2" xfId="15087" xr:uid="{AE86C668-45F9-4949-AB92-354CD1634D11}"/>
    <cellStyle name="40% - Accent4 2 2 7 3" xfId="10869" xr:uid="{C96A7003-3A88-4AE4-860A-67627B980C8E}"/>
    <cellStyle name="40% - Accent4 2 2 8" xfId="4579" xr:uid="{00000000-0005-0000-0000-0000CA050000}"/>
    <cellStyle name="40% - Accent4 2 2 8 2" xfId="13021" xr:uid="{7057A511-C978-45D5-A73A-0B9E00DC6A1C}"/>
    <cellStyle name="40% - Accent4 2 2 9" xfId="8803" xr:uid="{BD700613-859C-4107-A4BB-6C0C1F8B41EB}"/>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D7213B9E-606A-4BFC-9B00-FD0F1508F65A}"/>
    <cellStyle name="40% - Accent4 2 3 2 2 3" xfId="11364" xr:uid="{90C098E0-EC70-43D8-90B8-F261EA9D06DF}"/>
    <cellStyle name="40% - Accent4 2 3 2 3" xfId="4995" xr:uid="{00000000-0005-0000-0000-0000CF050000}"/>
    <cellStyle name="40% - Accent4 2 3 2 3 2" xfId="13437" xr:uid="{7D1D37AD-720E-4711-8D05-14463ACB47DD}"/>
    <cellStyle name="40% - Accent4 2 3 2 4" xfId="9219" xr:uid="{723F55BA-3EEB-4DFA-AB47-A6F7407C37BD}"/>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C51689E8-B1C6-492C-B0B3-9BA0BDF5A914}"/>
    <cellStyle name="40% - Accent4 2 3 3 2 3" xfId="11777" xr:uid="{9E97155D-B490-4C8D-9756-5E610668034D}"/>
    <cellStyle name="40% - Accent4 2 3 3 3" xfId="5408" xr:uid="{00000000-0005-0000-0000-0000D3050000}"/>
    <cellStyle name="40% - Accent4 2 3 3 3 2" xfId="13850" xr:uid="{F9E5A3AF-5C0F-4C29-A955-94865513A15D}"/>
    <cellStyle name="40% - Accent4 2 3 3 4" xfId="9632" xr:uid="{74DD54BB-A65E-41B7-84A0-1FB3ABA9CDEE}"/>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0112F44B-44A9-4A1D-8945-459907538FF9}"/>
    <cellStyle name="40% - Accent4 2 3 4 2 3" xfId="12190" xr:uid="{47F4DFC9-8DF0-48C3-8628-ABA4B2BBE509}"/>
    <cellStyle name="40% - Accent4 2 3 4 3" xfId="5821" xr:uid="{00000000-0005-0000-0000-0000D7050000}"/>
    <cellStyle name="40% - Accent4 2 3 4 3 2" xfId="14263" xr:uid="{D06AEFC7-D183-4F6D-AD1A-317F42367A92}"/>
    <cellStyle name="40% - Accent4 2 3 4 4" xfId="10045" xr:uid="{BD2C4978-1041-48BA-8D6B-59246899FEFB}"/>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FEF3D5ED-8186-407D-BA00-957F1A3BB8FB}"/>
    <cellStyle name="40% - Accent4 2 3 5 2 3" xfId="12603" xr:uid="{9AD0CB5F-64FB-4E7A-8EE4-9C18473AE0C3}"/>
    <cellStyle name="40% - Accent4 2 3 5 3" xfId="6234" xr:uid="{00000000-0005-0000-0000-0000DB050000}"/>
    <cellStyle name="40% - Accent4 2 3 5 3 2" xfId="14676" xr:uid="{A220E742-B2CA-4EB8-BA84-D167CEEF1C1E}"/>
    <cellStyle name="40% - Accent4 2 3 5 4" xfId="10458" xr:uid="{4AF61FA5-8B15-458B-97A4-CA7A2A49B047}"/>
    <cellStyle name="40% - Accent4 2 3 6" xfId="2340" xr:uid="{00000000-0005-0000-0000-0000DC050000}"/>
    <cellStyle name="40% - Accent4 2 3 6 2" xfId="6647" xr:uid="{00000000-0005-0000-0000-0000DD050000}"/>
    <cellStyle name="40% - Accent4 2 3 6 2 2" xfId="15089" xr:uid="{43BD7E45-45CD-4954-BCAD-554B60CBEE5B}"/>
    <cellStyle name="40% - Accent4 2 3 6 3" xfId="10871" xr:uid="{234C8465-B61E-48B9-AEFA-C1DB8D700E58}"/>
    <cellStyle name="40% - Accent4 2 3 7" xfId="4581" xr:uid="{00000000-0005-0000-0000-0000DE050000}"/>
    <cellStyle name="40% - Accent4 2 3 7 2" xfId="13023" xr:uid="{080998F4-619F-46FA-A974-AFFBA722C076}"/>
    <cellStyle name="40% - Accent4 2 3 8" xfId="8805" xr:uid="{4E74D61B-7CAE-40AC-87BB-014E37EB9163}"/>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D00F104E-0A1E-437B-AA5C-61247CA9C0C8}"/>
    <cellStyle name="40% - Accent4 2 4 2 3" xfId="11361" xr:uid="{F8B6C499-71EC-4226-8BB1-753A57BEFFB8}"/>
    <cellStyle name="40% - Accent4 2 4 3" xfId="4992" xr:uid="{00000000-0005-0000-0000-0000E2050000}"/>
    <cellStyle name="40% - Accent4 2 4 3 2" xfId="13434" xr:uid="{B2AC97C2-7D2A-46F5-A019-966D61736ACF}"/>
    <cellStyle name="40% - Accent4 2 4 4" xfId="9216" xr:uid="{DAF5997B-3AB9-4F97-9CEE-1974FA232E96}"/>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E3FA80AD-F47A-4802-8851-E3F2808B3108}"/>
    <cellStyle name="40% - Accent4 2 5 2 3" xfId="11774" xr:uid="{F6F0DCC0-8FAC-489F-8474-BC7F71BF0D7B}"/>
    <cellStyle name="40% - Accent4 2 5 3" xfId="5405" xr:uid="{00000000-0005-0000-0000-0000E6050000}"/>
    <cellStyle name="40% - Accent4 2 5 3 2" xfId="13847" xr:uid="{B0860086-5636-4D82-8A0B-C0039D5208CA}"/>
    <cellStyle name="40% - Accent4 2 5 4" xfId="9629" xr:uid="{2FF34307-B6AA-4410-BB2B-B2B1E850BE79}"/>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2C25F1E7-987A-43CE-B8D3-1D6A17EFD544}"/>
    <cellStyle name="40% - Accent4 2 6 2 3" xfId="12187" xr:uid="{C45AACDC-2BC5-4191-B2F1-4CFA2DEC3D13}"/>
    <cellStyle name="40% - Accent4 2 6 3" xfId="5818" xr:uid="{00000000-0005-0000-0000-0000EA050000}"/>
    <cellStyle name="40% - Accent4 2 6 3 2" xfId="14260" xr:uid="{F4BE9025-F425-4EAD-801C-CB8F276CA714}"/>
    <cellStyle name="40% - Accent4 2 6 4" xfId="10042" xr:uid="{86C7782A-CB13-4783-AAA9-F05665D1C466}"/>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19A5C545-F1C3-48DA-99FE-0708261F4EEA}"/>
    <cellStyle name="40% - Accent4 2 7 2 3" xfId="12600" xr:uid="{DFE54BF8-79C7-41C8-B320-98E138EC7F96}"/>
    <cellStyle name="40% - Accent4 2 7 3" xfId="6231" xr:uid="{00000000-0005-0000-0000-0000EE050000}"/>
    <cellStyle name="40% - Accent4 2 7 3 2" xfId="14673" xr:uid="{B5DC0B9A-3C5F-48C9-8BD3-9E8D59C6BB3A}"/>
    <cellStyle name="40% - Accent4 2 7 4" xfId="10455" xr:uid="{15D653CE-6FC4-4069-B28E-71B134297330}"/>
    <cellStyle name="40% - Accent4 2 8" xfId="2337" xr:uid="{00000000-0005-0000-0000-0000EF050000}"/>
    <cellStyle name="40% - Accent4 2 8 2" xfId="6644" xr:uid="{00000000-0005-0000-0000-0000F0050000}"/>
    <cellStyle name="40% - Accent4 2 8 2 2" xfId="15086" xr:uid="{EDBCD617-258E-4B27-91CC-F6E4C5C61375}"/>
    <cellStyle name="40% - Accent4 2 8 3" xfId="10868" xr:uid="{C2216447-94B3-4F59-A80B-31FE6A03ABC7}"/>
    <cellStyle name="40% - Accent4 2 9" xfId="4578" xr:uid="{00000000-0005-0000-0000-0000F1050000}"/>
    <cellStyle name="40% - Accent4 2 9 2" xfId="13020" xr:uid="{211DC81D-5D1A-4DE6-8F55-728B9E617B15}"/>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8D2A666B-4674-40B5-9E1A-BBCEF7991E4B}"/>
    <cellStyle name="40% - Accent4 3 2 2 2 3" xfId="11366" xr:uid="{D1D98E6C-79AA-4E67-9BCD-F5B32312FA96}"/>
    <cellStyle name="40% - Accent4 3 2 2 3" xfId="4997" xr:uid="{00000000-0005-0000-0000-0000F7050000}"/>
    <cellStyle name="40% - Accent4 3 2 2 3 2" xfId="13439" xr:uid="{E1D672E5-98C6-470A-95B0-ADE2913B069C}"/>
    <cellStyle name="40% - Accent4 3 2 2 4" xfId="9221" xr:uid="{90169F0D-AC89-41A2-8685-CFC67C1B689E}"/>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DC9D21B3-4202-497B-8B3B-E4CA846D6A1A}"/>
    <cellStyle name="40% - Accent4 3 2 3 2 3" xfId="11779" xr:uid="{06A41CFC-451C-4AC3-93CA-7E326617FB94}"/>
    <cellStyle name="40% - Accent4 3 2 3 3" xfId="5410" xr:uid="{00000000-0005-0000-0000-0000FB050000}"/>
    <cellStyle name="40% - Accent4 3 2 3 3 2" xfId="13852" xr:uid="{9838C8D5-8111-4242-A958-BC8A737F05FD}"/>
    <cellStyle name="40% - Accent4 3 2 3 4" xfId="9634" xr:uid="{731A0D34-B95F-463A-BCCD-53BC8D117937}"/>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9894EA7D-D6F1-49BA-8E35-9CB18B106D73}"/>
    <cellStyle name="40% - Accent4 3 2 4 2 3" xfId="12192" xr:uid="{16DF2F93-ED76-4F4F-9123-84000F2345C1}"/>
    <cellStyle name="40% - Accent4 3 2 4 3" xfId="5823" xr:uid="{00000000-0005-0000-0000-0000FF050000}"/>
    <cellStyle name="40% - Accent4 3 2 4 3 2" xfId="14265" xr:uid="{2EB95444-6A4E-4B29-8B9D-7D9CE95EC280}"/>
    <cellStyle name="40% - Accent4 3 2 4 4" xfId="10047" xr:uid="{ADFFD468-9CA4-405F-9905-EBB4ABECDC9C}"/>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143D5038-A7BE-401F-9282-B8A83662AF9C}"/>
    <cellStyle name="40% - Accent4 3 2 5 2 3" xfId="12605" xr:uid="{DA8D150D-D358-413B-B32C-95AC7995FB84}"/>
    <cellStyle name="40% - Accent4 3 2 5 3" xfId="6236" xr:uid="{00000000-0005-0000-0000-000003060000}"/>
    <cellStyle name="40% - Accent4 3 2 5 3 2" xfId="14678" xr:uid="{48657631-4AB6-4EE1-87FB-26FB8E78F573}"/>
    <cellStyle name="40% - Accent4 3 2 5 4" xfId="10460" xr:uid="{6791A1FA-2545-4970-B222-D4ED7E3BDDB8}"/>
    <cellStyle name="40% - Accent4 3 2 6" xfId="2342" xr:uid="{00000000-0005-0000-0000-000004060000}"/>
    <cellStyle name="40% - Accent4 3 2 6 2" xfId="6649" xr:uid="{00000000-0005-0000-0000-000005060000}"/>
    <cellStyle name="40% - Accent4 3 2 6 2 2" xfId="15091" xr:uid="{2B6CC513-95D6-4777-8F61-832EBFBA66D2}"/>
    <cellStyle name="40% - Accent4 3 2 6 3" xfId="10873" xr:uid="{D5851348-7E20-48F3-83B7-D4B276405C55}"/>
    <cellStyle name="40% - Accent4 3 2 7" xfId="4583" xr:uid="{00000000-0005-0000-0000-000006060000}"/>
    <cellStyle name="40% - Accent4 3 2 7 2" xfId="13025" xr:uid="{28E6E044-241A-45AA-9D31-EAB756926F5F}"/>
    <cellStyle name="40% - Accent4 3 2 8" xfId="8807" xr:uid="{7A35A585-F441-433C-93DA-83ECE14A3F3B}"/>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AE147789-8530-410B-AE12-CF96349C4A45}"/>
    <cellStyle name="40% - Accent4 3 3 2 3" xfId="11365" xr:uid="{1FB57C11-27EC-4B6A-96A2-E355CC649CC2}"/>
    <cellStyle name="40% - Accent4 3 3 3" xfId="4996" xr:uid="{00000000-0005-0000-0000-00000A060000}"/>
    <cellStyle name="40% - Accent4 3 3 3 2" xfId="13438" xr:uid="{B15D2A9D-9AEB-4558-8511-A04EE5B4DB01}"/>
    <cellStyle name="40% - Accent4 3 3 4" xfId="9220" xr:uid="{3CDF85FF-42F1-410F-B915-5536344B9CFD}"/>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43D7F24B-C043-4FDD-B93F-506D47A665F3}"/>
    <cellStyle name="40% - Accent4 3 4 2 3" xfId="11778" xr:uid="{A1CCB6DD-0F90-41AB-A45D-4755E9DAAA9C}"/>
    <cellStyle name="40% - Accent4 3 4 3" xfId="5409" xr:uid="{00000000-0005-0000-0000-00000E060000}"/>
    <cellStyle name="40% - Accent4 3 4 3 2" xfId="13851" xr:uid="{DF62F214-FF2D-4068-B5B7-AA22B177C852}"/>
    <cellStyle name="40% - Accent4 3 4 4" xfId="9633" xr:uid="{9C7C1C37-7189-4D28-92D7-10900C38B1DF}"/>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FADB6891-E92B-4DEA-ADAC-D2F8C553A194}"/>
    <cellStyle name="40% - Accent4 3 5 2 3" xfId="12191" xr:uid="{F90D58AE-C528-458E-8A59-736DBBB9E853}"/>
    <cellStyle name="40% - Accent4 3 5 3" xfId="5822" xr:uid="{00000000-0005-0000-0000-000012060000}"/>
    <cellStyle name="40% - Accent4 3 5 3 2" xfId="14264" xr:uid="{F587326E-BFC2-4A87-9C7A-0EAD2C311238}"/>
    <cellStyle name="40% - Accent4 3 5 4" xfId="10046" xr:uid="{EB3AAF56-4DB4-4BA7-BF5E-AA1F7E6F5F7B}"/>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A907623F-A1A2-477D-9DEC-B7075A32A121}"/>
    <cellStyle name="40% - Accent4 3 6 2 3" xfId="12604" xr:uid="{A05AF203-7390-414C-BF1B-AD1C0FC4B392}"/>
    <cellStyle name="40% - Accent4 3 6 3" xfId="6235" xr:uid="{00000000-0005-0000-0000-000016060000}"/>
    <cellStyle name="40% - Accent4 3 6 3 2" xfId="14677" xr:uid="{B906CD23-B934-4C1D-A2B3-F542F83DB635}"/>
    <cellStyle name="40% - Accent4 3 6 4" xfId="10459" xr:uid="{74C1E687-A65E-43B1-9789-4826166EC053}"/>
    <cellStyle name="40% - Accent4 3 7" xfId="2341" xr:uid="{00000000-0005-0000-0000-000017060000}"/>
    <cellStyle name="40% - Accent4 3 7 2" xfId="6648" xr:uid="{00000000-0005-0000-0000-000018060000}"/>
    <cellStyle name="40% - Accent4 3 7 2 2" xfId="15090" xr:uid="{27272C3C-D6C9-4249-B7E9-DEF0FFFD335B}"/>
    <cellStyle name="40% - Accent4 3 7 3" xfId="10872" xr:uid="{2C1FFFF3-1F52-4DEC-B45E-3E698C5E9109}"/>
    <cellStyle name="40% - Accent4 3 8" xfId="4582" xr:uid="{00000000-0005-0000-0000-000019060000}"/>
    <cellStyle name="40% - Accent4 3 8 2" xfId="13024" xr:uid="{3E493F7C-D21D-47E1-9CC4-B8350F304BA7}"/>
    <cellStyle name="40% - Accent4 3 9" xfId="8806" xr:uid="{3152F4BA-4E10-4C61-BFA4-170ABF41DE69}"/>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43BD7F14-19AA-4B7F-80FA-76A652B3B885}"/>
    <cellStyle name="40% - Accent4 4 2 2 3" xfId="11367" xr:uid="{A769A72E-975B-48BF-BFE6-02C9D2E22DB5}"/>
    <cellStyle name="40% - Accent4 4 2 3" xfId="4998" xr:uid="{00000000-0005-0000-0000-00001E060000}"/>
    <cellStyle name="40% - Accent4 4 2 3 2" xfId="13440" xr:uid="{2BA6416E-AE86-4AE4-8173-B4B53E8CAFDA}"/>
    <cellStyle name="40% - Accent4 4 2 4" xfId="9222" xr:uid="{7285A8C7-EE47-441F-8FB9-212F57FA268B}"/>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9C7025E1-217A-48AC-BC39-F0A6F63042CE}"/>
    <cellStyle name="40% - Accent4 4 3 2 3" xfId="11780" xr:uid="{B96B24B3-8248-4AE4-B896-85A041F2780D}"/>
    <cellStyle name="40% - Accent4 4 3 3" xfId="5411" xr:uid="{00000000-0005-0000-0000-000022060000}"/>
    <cellStyle name="40% - Accent4 4 3 3 2" xfId="13853" xr:uid="{85C4E90D-FF6D-4A62-9E70-D9AE1985300C}"/>
    <cellStyle name="40% - Accent4 4 3 4" xfId="9635" xr:uid="{FE6E3B88-BDC4-4C33-8034-4D57BF87B3EB}"/>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DCC421AA-2059-4F23-BA50-4199DC46FA41}"/>
    <cellStyle name="40% - Accent4 4 4 2 3" xfId="12193" xr:uid="{2748C120-8F92-4878-9F6E-9E3DFA27949B}"/>
    <cellStyle name="40% - Accent4 4 4 3" xfId="5824" xr:uid="{00000000-0005-0000-0000-000026060000}"/>
    <cellStyle name="40% - Accent4 4 4 3 2" xfId="14266" xr:uid="{4A9DDEC0-3016-44F7-8BE7-D767E69B2454}"/>
    <cellStyle name="40% - Accent4 4 4 4" xfId="10048" xr:uid="{07F57679-08F4-44EE-9229-0CFADE7B1E88}"/>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84FCF1DC-C1CD-4B67-94AD-FC69036F3FB2}"/>
    <cellStyle name="40% - Accent4 4 5 2 3" xfId="12606" xr:uid="{B9C00E20-C81E-48C1-8B8F-14FFC2793FFD}"/>
    <cellStyle name="40% - Accent4 4 5 3" xfId="6237" xr:uid="{00000000-0005-0000-0000-00002A060000}"/>
    <cellStyle name="40% - Accent4 4 5 3 2" xfId="14679" xr:uid="{AA6F1B99-7836-47EA-9981-1EF0B98D1EA9}"/>
    <cellStyle name="40% - Accent4 4 5 4" xfId="10461" xr:uid="{2ABE13C1-97BC-4702-8E8A-D4F0096AE0F7}"/>
    <cellStyle name="40% - Accent4 4 6" xfId="2343" xr:uid="{00000000-0005-0000-0000-00002B060000}"/>
    <cellStyle name="40% - Accent4 4 6 2" xfId="6650" xr:uid="{00000000-0005-0000-0000-00002C060000}"/>
    <cellStyle name="40% - Accent4 4 6 2 2" xfId="15092" xr:uid="{0EFA5569-1B54-4E85-B908-5F67137F57B3}"/>
    <cellStyle name="40% - Accent4 4 6 3" xfId="10874" xr:uid="{71A84DCB-4C17-4A7A-A4C0-7E223AB08E53}"/>
    <cellStyle name="40% - Accent4 4 7" xfId="4584" xr:uid="{00000000-0005-0000-0000-00002D060000}"/>
    <cellStyle name="40% - Accent4 4 7 2" xfId="13026" xr:uid="{969431F9-C62F-4D93-A57B-4D4A40B7DE85}"/>
    <cellStyle name="40% - Accent4 4 8" xfId="8808" xr:uid="{A54A5EE1-AD69-4314-8301-C834E0C7CA21}"/>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B69FA0B3-0ECD-40E5-BFBE-FA5EF03207C0}"/>
    <cellStyle name="40% - Accent4 5 2 3" xfId="11360" xr:uid="{E3A640E6-5E52-4016-A082-4E976B09A2DA}"/>
    <cellStyle name="40% - Accent4 5 3" xfId="4991" xr:uid="{00000000-0005-0000-0000-000031060000}"/>
    <cellStyle name="40% - Accent4 5 3 2" xfId="13433" xr:uid="{80D2FCB8-5954-4818-AB06-C0ED6FC76C09}"/>
    <cellStyle name="40% - Accent4 5 4" xfId="9215" xr:uid="{9C635BBF-399B-4C00-8278-011F5BF1EEC2}"/>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43BEC332-172A-4D06-95FB-C40322BD0698}"/>
    <cellStyle name="40% - Accent4 6 2 3" xfId="11773" xr:uid="{E5ACD7ED-6946-400F-B7FB-596410EA5651}"/>
    <cellStyle name="40% - Accent4 6 3" xfId="5404" xr:uid="{00000000-0005-0000-0000-000035060000}"/>
    <cellStyle name="40% - Accent4 6 3 2" xfId="13846" xr:uid="{59996C3B-321E-426D-9183-0BCBFD78C3C9}"/>
    <cellStyle name="40% - Accent4 6 4" xfId="9628" xr:uid="{01081070-5201-41CA-AB4F-EB470143371A}"/>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024E27D9-1D64-45AC-8D74-F2F49EDB4BA5}"/>
    <cellStyle name="40% - Accent4 7 2 3" xfId="12186" xr:uid="{7184D47A-2B42-4951-AAC2-20677F5CBD53}"/>
    <cellStyle name="40% - Accent4 7 3" xfId="5817" xr:uid="{00000000-0005-0000-0000-000039060000}"/>
    <cellStyle name="40% - Accent4 7 3 2" xfId="14259" xr:uid="{362C8474-B171-462D-9383-D2689E38ECFB}"/>
    <cellStyle name="40% - Accent4 7 4" xfId="10041" xr:uid="{F01B97CE-25F4-4B7A-A687-F1F9DA9B0F4F}"/>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FD1EC5FE-FA67-49C0-A0D4-9EF5E3AC9D4C}"/>
    <cellStyle name="40% - Accent4 8 2 3" xfId="12599" xr:uid="{8BE119D5-41CA-4663-A187-2F12D67F64BA}"/>
    <cellStyle name="40% - Accent4 8 3" xfId="6230" xr:uid="{00000000-0005-0000-0000-00003D060000}"/>
    <cellStyle name="40% - Accent4 8 3 2" xfId="14672" xr:uid="{49FDA2F1-28B7-4ECF-8866-BF33B05D18DC}"/>
    <cellStyle name="40% - Accent4 8 4" xfId="10454" xr:uid="{7EB4D164-5B1B-4CB2-9863-E9F3644305FF}"/>
    <cellStyle name="40% - Accent4 9" xfId="2336" xr:uid="{00000000-0005-0000-0000-00003E060000}"/>
    <cellStyle name="40% - Accent4 9 2" xfId="6643" xr:uid="{00000000-0005-0000-0000-00003F060000}"/>
    <cellStyle name="40% - Accent4 9 2 2" xfId="15085" xr:uid="{EDA29853-B9D5-4BC2-8E71-2E9E3304EBC5}"/>
    <cellStyle name="40% - Accent4 9 3" xfId="10867" xr:uid="{A551E1BD-D7A1-4570-8B23-EBAE2DC7D317}"/>
    <cellStyle name="40% - Accent5" xfId="81" builtinId="47" customBuiltin="1"/>
    <cellStyle name="40% - Accent5 10" xfId="4585" xr:uid="{00000000-0005-0000-0000-000041060000}"/>
    <cellStyle name="40% - Accent5 10 2" xfId="13027" xr:uid="{33D70A29-4A17-47E3-A3A2-075DD1C56812}"/>
    <cellStyle name="40% - Accent5 11" xfId="8809" xr:uid="{634F1E26-4E6F-46C5-87E9-6F8254C98CFD}"/>
    <cellStyle name="40% - Accent5 2" xfId="82" xr:uid="{00000000-0005-0000-0000-000042060000}"/>
    <cellStyle name="40% - Accent5 2 10" xfId="8810" xr:uid="{27DE276E-8FFB-48D8-8F75-B5086B6A0417}"/>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068E5BE2-791C-45E7-87B8-4C727922185B}"/>
    <cellStyle name="40% - Accent5 2 2 2 2 2 3" xfId="11371" xr:uid="{83D764F3-DDF2-44BF-A555-3C54E024F961}"/>
    <cellStyle name="40% - Accent5 2 2 2 2 3" xfId="5002" xr:uid="{00000000-0005-0000-0000-000048060000}"/>
    <cellStyle name="40% - Accent5 2 2 2 2 3 2" xfId="13444" xr:uid="{DFDE8AB7-BAE7-4568-9F04-9F1C0FC90A95}"/>
    <cellStyle name="40% - Accent5 2 2 2 2 4" xfId="9226" xr:uid="{65FDCCB3-8F5A-4B72-8C07-06C87D435614}"/>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84B1CE2B-FCD5-415E-B329-083284F9FB4D}"/>
    <cellStyle name="40% - Accent5 2 2 2 3 2 3" xfId="11784" xr:uid="{496EE8E7-24FB-423E-8C1E-AA8E23D22448}"/>
    <cellStyle name="40% - Accent5 2 2 2 3 3" xfId="5415" xr:uid="{00000000-0005-0000-0000-00004C060000}"/>
    <cellStyle name="40% - Accent5 2 2 2 3 3 2" xfId="13857" xr:uid="{4168214E-07CC-465A-8D2A-05E500041186}"/>
    <cellStyle name="40% - Accent5 2 2 2 3 4" xfId="9639" xr:uid="{73DAA10A-EF14-499D-BD48-728AB30D520E}"/>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5D39453B-C9EE-4485-BE52-DA6A74CB9CA2}"/>
    <cellStyle name="40% - Accent5 2 2 2 4 2 3" xfId="12197" xr:uid="{EE44540F-0386-4E6A-8C1A-E62D88133068}"/>
    <cellStyle name="40% - Accent5 2 2 2 4 3" xfId="5828" xr:uid="{00000000-0005-0000-0000-000050060000}"/>
    <cellStyle name="40% - Accent5 2 2 2 4 3 2" xfId="14270" xr:uid="{D6824102-3561-4DD5-A073-F28B588578D6}"/>
    <cellStyle name="40% - Accent5 2 2 2 4 4" xfId="10052" xr:uid="{D0396D16-6405-4814-BC57-6F4BB16992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AAB86442-29C0-48A6-B460-940333A8EEBF}"/>
    <cellStyle name="40% - Accent5 2 2 2 5 2 3" xfId="12610" xr:uid="{4E37E151-C3A6-47F2-988A-3834E866BAEF}"/>
    <cellStyle name="40% - Accent5 2 2 2 5 3" xfId="6241" xr:uid="{00000000-0005-0000-0000-000054060000}"/>
    <cellStyle name="40% - Accent5 2 2 2 5 3 2" xfId="14683" xr:uid="{3FAADC89-1B7F-46FD-93EC-9F0BC7F4CC29}"/>
    <cellStyle name="40% - Accent5 2 2 2 5 4" xfId="10465" xr:uid="{B4FA08CB-4841-49FF-9FFF-FEF1B714C445}"/>
    <cellStyle name="40% - Accent5 2 2 2 6" xfId="2347" xr:uid="{00000000-0005-0000-0000-000055060000}"/>
    <cellStyle name="40% - Accent5 2 2 2 6 2" xfId="6654" xr:uid="{00000000-0005-0000-0000-000056060000}"/>
    <cellStyle name="40% - Accent5 2 2 2 6 2 2" xfId="15096" xr:uid="{29ADB67E-1766-4342-AB7A-949B091695D4}"/>
    <cellStyle name="40% - Accent5 2 2 2 6 3" xfId="10878" xr:uid="{EB46969E-153A-48EF-B026-67218814857A}"/>
    <cellStyle name="40% - Accent5 2 2 2 7" xfId="4588" xr:uid="{00000000-0005-0000-0000-000057060000}"/>
    <cellStyle name="40% - Accent5 2 2 2 7 2" xfId="13030" xr:uid="{FC9A441F-6838-44C7-A42C-1D81EEA29F01}"/>
    <cellStyle name="40% - Accent5 2 2 2 8" xfId="8812" xr:uid="{94A069ED-358B-422D-B131-EED67E906B84}"/>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706A6747-2169-4BEF-94F9-F65A4E62BBC6}"/>
    <cellStyle name="40% - Accent5 2 2 3 2 3" xfId="11370" xr:uid="{CB964F80-8BAC-4F13-B2CF-33FDD53B819E}"/>
    <cellStyle name="40% - Accent5 2 2 3 3" xfId="5001" xr:uid="{00000000-0005-0000-0000-00005B060000}"/>
    <cellStyle name="40% - Accent5 2 2 3 3 2" xfId="13443" xr:uid="{41CC8108-22B9-4151-BAEA-EDF897F8294A}"/>
    <cellStyle name="40% - Accent5 2 2 3 4" xfId="9225" xr:uid="{EF34C24A-4519-477E-A272-E82878286A4D}"/>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05CA8D01-2D23-4CCF-B84F-F26793C6530E}"/>
    <cellStyle name="40% - Accent5 2 2 4 2 3" xfId="11783" xr:uid="{FA441B72-2751-4F54-8EAA-F123D87AB5C9}"/>
    <cellStyle name="40% - Accent5 2 2 4 3" xfId="5414" xr:uid="{00000000-0005-0000-0000-00005F060000}"/>
    <cellStyle name="40% - Accent5 2 2 4 3 2" xfId="13856" xr:uid="{C37891B2-DE41-4F85-BFDA-0AC074CBDA52}"/>
    <cellStyle name="40% - Accent5 2 2 4 4" xfId="9638" xr:uid="{A1459678-76D0-4FB4-8B90-BA20C17FBF92}"/>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FBBF0B65-06F7-4FE0-A263-684B121B03CA}"/>
    <cellStyle name="40% - Accent5 2 2 5 2 3" xfId="12196" xr:uid="{7BDBD3B9-997C-4367-AD3F-FF16E47798A2}"/>
    <cellStyle name="40% - Accent5 2 2 5 3" xfId="5827" xr:uid="{00000000-0005-0000-0000-000063060000}"/>
    <cellStyle name="40% - Accent5 2 2 5 3 2" xfId="14269" xr:uid="{8A811A8B-D529-4478-88E4-94B14131559C}"/>
    <cellStyle name="40% - Accent5 2 2 5 4" xfId="10051" xr:uid="{7884BF4C-EA56-45F4-8715-2513E207C1FE}"/>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A792A03D-75EA-4A26-BE43-C0B4CDAF6FCC}"/>
    <cellStyle name="40% - Accent5 2 2 6 2 3" xfId="12609" xr:uid="{169B8D3B-D55A-4FE9-B863-F638166EBF02}"/>
    <cellStyle name="40% - Accent5 2 2 6 3" xfId="6240" xr:uid="{00000000-0005-0000-0000-000067060000}"/>
    <cellStyle name="40% - Accent5 2 2 6 3 2" xfId="14682" xr:uid="{79818C00-E2DD-4C1D-8D8E-427B81D7AF2C}"/>
    <cellStyle name="40% - Accent5 2 2 6 4" xfId="10464" xr:uid="{C3063B09-3BD7-4396-A38F-46AA6F44D7DF}"/>
    <cellStyle name="40% - Accent5 2 2 7" xfId="2346" xr:uid="{00000000-0005-0000-0000-000068060000}"/>
    <cellStyle name="40% - Accent5 2 2 7 2" xfId="6653" xr:uid="{00000000-0005-0000-0000-000069060000}"/>
    <cellStyle name="40% - Accent5 2 2 7 2 2" xfId="15095" xr:uid="{22498D76-E360-490C-A7A2-160ED369C2CA}"/>
    <cellStyle name="40% - Accent5 2 2 7 3" xfId="10877" xr:uid="{ECFA68C3-4554-4DBC-A09D-AE30028A8175}"/>
    <cellStyle name="40% - Accent5 2 2 8" xfId="4587" xr:uid="{00000000-0005-0000-0000-00006A060000}"/>
    <cellStyle name="40% - Accent5 2 2 8 2" xfId="13029" xr:uid="{0548841E-07A2-484D-85AD-AD447B15158E}"/>
    <cellStyle name="40% - Accent5 2 2 9" xfId="8811" xr:uid="{F2C4AA51-CF4B-4D7E-98F7-37A93ED65CEE}"/>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7154207A-D92E-45A7-B206-39FCD3BF4FBC}"/>
    <cellStyle name="40% - Accent5 2 3 2 2 3" xfId="11372" xr:uid="{7D934374-F9EA-4373-A989-1D4B5176E1D4}"/>
    <cellStyle name="40% - Accent5 2 3 2 3" xfId="5003" xr:uid="{00000000-0005-0000-0000-00006F060000}"/>
    <cellStyle name="40% - Accent5 2 3 2 3 2" xfId="13445" xr:uid="{53E8905A-4891-43A6-B622-3E6CDB2DA14F}"/>
    <cellStyle name="40% - Accent5 2 3 2 4" xfId="9227" xr:uid="{1ED19CBA-45DF-462F-8C22-5085F1B9C1A1}"/>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9A20CE97-5915-4175-B7F6-E9FF742A1C4D}"/>
    <cellStyle name="40% - Accent5 2 3 3 2 3" xfId="11785" xr:uid="{8E7763A8-824B-4D2B-ABEA-EB51DFAA0870}"/>
    <cellStyle name="40% - Accent5 2 3 3 3" xfId="5416" xr:uid="{00000000-0005-0000-0000-000073060000}"/>
    <cellStyle name="40% - Accent5 2 3 3 3 2" xfId="13858" xr:uid="{E7C5AF76-1FF6-42F1-8617-27C8860E8DF4}"/>
    <cellStyle name="40% - Accent5 2 3 3 4" xfId="9640" xr:uid="{E3A5CB2B-C64A-430D-8C0D-AEBA72BD26D8}"/>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9C6C8470-AC11-46A0-8F1D-B0ED6E75278E}"/>
    <cellStyle name="40% - Accent5 2 3 4 2 3" xfId="12198" xr:uid="{5473CCED-0937-4520-91C2-19DA36F3B3D9}"/>
    <cellStyle name="40% - Accent5 2 3 4 3" xfId="5829" xr:uid="{00000000-0005-0000-0000-000077060000}"/>
    <cellStyle name="40% - Accent5 2 3 4 3 2" xfId="14271" xr:uid="{46582403-3630-438F-BDAD-862BC3F3BD15}"/>
    <cellStyle name="40% - Accent5 2 3 4 4" xfId="10053" xr:uid="{C7EA119D-2773-4095-BC1E-51B6DF7B8565}"/>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55AE52C6-CEAB-4B08-843F-8815C7D7526A}"/>
    <cellStyle name="40% - Accent5 2 3 5 2 3" xfId="12611" xr:uid="{93F0601C-BED0-4729-93DD-83A20724B6B8}"/>
    <cellStyle name="40% - Accent5 2 3 5 3" xfId="6242" xr:uid="{00000000-0005-0000-0000-00007B060000}"/>
    <cellStyle name="40% - Accent5 2 3 5 3 2" xfId="14684" xr:uid="{D169F6CD-E694-4B03-B8AA-92F6854BC9AD}"/>
    <cellStyle name="40% - Accent5 2 3 5 4" xfId="10466" xr:uid="{ED6D5B5E-618F-4834-B715-A3010480CF64}"/>
    <cellStyle name="40% - Accent5 2 3 6" xfId="2348" xr:uid="{00000000-0005-0000-0000-00007C060000}"/>
    <cellStyle name="40% - Accent5 2 3 6 2" xfId="6655" xr:uid="{00000000-0005-0000-0000-00007D060000}"/>
    <cellStyle name="40% - Accent5 2 3 6 2 2" xfId="15097" xr:uid="{EE0B3015-0EE8-4635-BF8F-CD66BFD50A47}"/>
    <cellStyle name="40% - Accent5 2 3 6 3" xfId="10879" xr:uid="{5B43FB36-8E84-495A-8FB2-D163412443F5}"/>
    <cellStyle name="40% - Accent5 2 3 7" xfId="4589" xr:uid="{00000000-0005-0000-0000-00007E060000}"/>
    <cellStyle name="40% - Accent5 2 3 7 2" xfId="13031" xr:uid="{904DC724-6FD4-495F-A8F5-3DC14EC927DB}"/>
    <cellStyle name="40% - Accent5 2 3 8" xfId="8813" xr:uid="{ACBC1CE1-BBB9-48A1-970F-5EC4AC043070}"/>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E843A914-AD7E-4D3F-9B26-EA9E4CF25F7B}"/>
    <cellStyle name="40% - Accent5 2 4 2 3" xfId="11369" xr:uid="{005A51E7-3E68-4897-A67E-B69AD2B3A5D6}"/>
    <cellStyle name="40% - Accent5 2 4 3" xfId="5000" xr:uid="{00000000-0005-0000-0000-000082060000}"/>
    <cellStyle name="40% - Accent5 2 4 3 2" xfId="13442" xr:uid="{9EFA34CE-94C5-4779-82A2-D79B144C430F}"/>
    <cellStyle name="40% - Accent5 2 4 4" xfId="9224" xr:uid="{D525A241-8009-41F8-9F39-D7A3F01208AD}"/>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15F0881A-7E93-4C9E-B1EA-BF4634B79330}"/>
    <cellStyle name="40% - Accent5 2 5 2 3" xfId="11782" xr:uid="{A2C561DA-70FE-45AD-B88B-830FD25A44F9}"/>
    <cellStyle name="40% - Accent5 2 5 3" xfId="5413" xr:uid="{00000000-0005-0000-0000-000086060000}"/>
    <cellStyle name="40% - Accent5 2 5 3 2" xfId="13855" xr:uid="{04FBAEA9-2D7E-4750-AF5A-3D6750D3FDE5}"/>
    <cellStyle name="40% - Accent5 2 5 4" xfId="9637" xr:uid="{C291C026-D32A-4AD9-B7EB-30CAB1F0F260}"/>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DBD36A81-2B1C-4E70-A135-AEA62F914267}"/>
    <cellStyle name="40% - Accent5 2 6 2 3" xfId="12195" xr:uid="{615161E4-ADA4-47D5-9A8E-97C87DAEC2C1}"/>
    <cellStyle name="40% - Accent5 2 6 3" xfId="5826" xr:uid="{00000000-0005-0000-0000-00008A060000}"/>
    <cellStyle name="40% - Accent5 2 6 3 2" xfId="14268" xr:uid="{97319389-4A9B-49B7-9F1F-9586E3AC4CAB}"/>
    <cellStyle name="40% - Accent5 2 6 4" xfId="10050" xr:uid="{ED3A12EF-E963-4383-AFF1-A2FB59EA3722}"/>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A7AE20CF-469A-4A6A-82BF-A603630D1A20}"/>
    <cellStyle name="40% - Accent5 2 7 2 3" xfId="12608" xr:uid="{6D6F87C7-D16C-483E-B335-FCFC5C25A12E}"/>
    <cellStyle name="40% - Accent5 2 7 3" xfId="6239" xr:uid="{00000000-0005-0000-0000-00008E060000}"/>
    <cellStyle name="40% - Accent5 2 7 3 2" xfId="14681" xr:uid="{3E952609-531D-4EE5-BA53-4B4E3DEC7041}"/>
    <cellStyle name="40% - Accent5 2 7 4" xfId="10463" xr:uid="{017558BF-DB76-4316-BCC6-C7ADF975FC69}"/>
    <cellStyle name="40% - Accent5 2 8" xfId="2345" xr:uid="{00000000-0005-0000-0000-00008F060000}"/>
    <cellStyle name="40% - Accent5 2 8 2" xfId="6652" xr:uid="{00000000-0005-0000-0000-000090060000}"/>
    <cellStyle name="40% - Accent5 2 8 2 2" xfId="15094" xr:uid="{976FF817-1188-4731-B300-796EA49F8A60}"/>
    <cellStyle name="40% - Accent5 2 8 3" xfId="10876" xr:uid="{6D6CFB9D-7D43-4C85-B057-A4DDE4276D9E}"/>
    <cellStyle name="40% - Accent5 2 9" xfId="4586" xr:uid="{00000000-0005-0000-0000-000091060000}"/>
    <cellStyle name="40% - Accent5 2 9 2" xfId="13028" xr:uid="{5AA3F91B-9E5F-41ED-9D79-BFCD7B3034EF}"/>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F8CB8491-9148-4B9D-A40D-8B7570687DB6}"/>
    <cellStyle name="40% - Accent5 3 2 2 2 3" xfId="11374" xr:uid="{60DBD421-6698-472F-9A76-DBB54A15003A}"/>
    <cellStyle name="40% - Accent5 3 2 2 3" xfId="5005" xr:uid="{00000000-0005-0000-0000-000097060000}"/>
    <cellStyle name="40% - Accent5 3 2 2 3 2" xfId="13447" xr:uid="{3562AFA1-BE9E-4FAB-9707-4846F80972A5}"/>
    <cellStyle name="40% - Accent5 3 2 2 4" xfId="9229" xr:uid="{E765437B-0FC5-4AC1-A010-CE8D1636935B}"/>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D1BA7CDF-62FD-4F31-A282-CE79E50FA94E}"/>
    <cellStyle name="40% - Accent5 3 2 3 2 3" xfId="11787" xr:uid="{9B41842F-DF01-402C-8CD4-633FD0F447EC}"/>
    <cellStyle name="40% - Accent5 3 2 3 3" xfId="5418" xr:uid="{00000000-0005-0000-0000-00009B060000}"/>
    <cellStyle name="40% - Accent5 3 2 3 3 2" xfId="13860" xr:uid="{61FD9374-1829-4318-9E51-AC43EAC66FAC}"/>
    <cellStyle name="40% - Accent5 3 2 3 4" xfId="9642" xr:uid="{112EC896-16DC-4F04-8F45-FEAD7DFD3E64}"/>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5C5305CE-33AC-475B-A68C-BECCB9BBC5AA}"/>
    <cellStyle name="40% - Accent5 3 2 4 2 3" xfId="12200" xr:uid="{329E02A4-A357-4A33-B147-A51E0A07DB90}"/>
    <cellStyle name="40% - Accent5 3 2 4 3" xfId="5831" xr:uid="{00000000-0005-0000-0000-00009F060000}"/>
    <cellStyle name="40% - Accent5 3 2 4 3 2" xfId="14273" xr:uid="{E0A91C8F-D243-4ADF-9630-E99E16FE6BF7}"/>
    <cellStyle name="40% - Accent5 3 2 4 4" xfId="10055" xr:uid="{2994DFA9-70BF-4AC2-ACA8-B69ABDA899F6}"/>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123E612B-98D5-4E8F-A62E-110900015892}"/>
    <cellStyle name="40% - Accent5 3 2 5 2 3" xfId="12613" xr:uid="{0CF8E401-AAC3-4FA8-AB2A-B9F3B09F9E5E}"/>
    <cellStyle name="40% - Accent5 3 2 5 3" xfId="6244" xr:uid="{00000000-0005-0000-0000-0000A3060000}"/>
    <cellStyle name="40% - Accent5 3 2 5 3 2" xfId="14686" xr:uid="{4A62CAB7-1748-42D9-A975-977CD9393C0B}"/>
    <cellStyle name="40% - Accent5 3 2 5 4" xfId="10468" xr:uid="{5474BA42-EF25-44E9-9806-DD6E6E9E7F84}"/>
    <cellStyle name="40% - Accent5 3 2 6" xfId="2350" xr:uid="{00000000-0005-0000-0000-0000A4060000}"/>
    <cellStyle name="40% - Accent5 3 2 6 2" xfId="6657" xr:uid="{00000000-0005-0000-0000-0000A5060000}"/>
    <cellStyle name="40% - Accent5 3 2 6 2 2" xfId="15099" xr:uid="{1A4FA73E-44EA-4484-9C62-DFBF3D8BD698}"/>
    <cellStyle name="40% - Accent5 3 2 6 3" xfId="10881" xr:uid="{CBE7B23B-3DD9-4157-B74D-DAF85081F1B4}"/>
    <cellStyle name="40% - Accent5 3 2 7" xfId="4591" xr:uid="{00000000-0005-0000-0000-0000A6060000}"/>
    <cellStyle name="40% - Accent5 3 2 7 2" xfId="13033" xr:uid="{E42E586F-36C5-46C2-9DD7-9AF782CCE17A}"/>
    <cellStyle name="40% - Accent5 3 2 8" xfId="8815" xr:uid="{C0077B26-D2F6-4A94-ADCC-B2823A9102F0}"/>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B1D64A32-926E-4CD8-A62A-90C6C94149A1}"/>
    <cellStyle name="40% - Accent5 3 3 2 3" xfId="11373" xr:uid="{90753E57-2AED-443A-876C-4ADE5A2A1ED1}"/>
    <cellStyle name="40% - Accent5 3 3 3" xfId="5004" xr:uid="{00000000-0005-0000-0000-0000AA060000}"/>
    <cellStyle name="40% - Accent5 3 3 3 2" xfId="13446" xr:uid="{E1D6E1C2-8C4E-4A1C-AF25-492E621A8451}"/>
    <cellStyle name="40% - Accent5 3 3 4" xfId="9228" xr:uid="{53A41B3F-96AA-4864-B772-085520B0A44A}"/>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D802FFD8-8CC6-45D7-B736-35BCD135026C}"/>
    <cellStyle name="40% - Accent5 3 4 2 3" xfId="11786" xr:uid="{89A214C7-ABB2-45E0-859D-80EB4D5B06BC}"/>
    <cellStyle name="40% - Accent5 3 4 3" xfId="5417" xr:uid="{00000000-0005-0000-0000-0000AE060000}"/>
    <cellStyle name="40% - Accent5 3 4 3 2" xfId="13859" xr:uid="{7DCBE2EF-907A-45CD-A873-9C251382199E}"/>
    <cellStyle name="40% - Accent5 3 4 4" xfId="9641" xr:uid="{195B98AA-232A-4177-ACAE-5D5847371279}"/>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96E02382-6F54-4A79-A9D4-631F90EBF2C6}"/>
    <cellStyle name="40% - Accent5 3 5 2 3" xfId="12199" xr:uid="{EC45CFB3-3BE3-4621-9063-F906DD6AE713}"/>
    <cellStyle name="40% - Accent5 3 5 3" xfId="5830" xr:uid="{00000000-0005-0000-0000-0000B2060000}"/>
    <cellStyle name="40% - Accent5 3 5 3 2" xfId="14272" xr:uid="{F27CE7EC-240A-43F8-B779-1F4C80F3CF95}"/>
    <cellStyle name="40% - Accent5 3 5 4" xfId="10054" xr:uid="{1E02D691-0AA7-4CCF-823F-82BD15584D2E}"/>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DD56196A-8ED1-4B47-A802-3419074ECD70}"/>
    <cellStyle name="40% - Accent5 3 6 2 3" xfId="12612" xr:uid="{04405A5B-3BA8-407B-8139-8529D24F98E0}"/>
    <cellStyle name="40% - Accent5 3 6 3" xfId="6243" xr:uid="{00000000-0005-0000-0000-0000B6060000}"/>
    <cellStyle name="40% - Accent5 3 6 3 2" xfId="14685" xr:uid="{749685FC-ED49-4912-9B99-9C3C359CD43A}"/>
    <cellStyle name="40% - Accent5 3 6 4" xfId="10467" xr:uid="{A0633DEB-0107-4A17-81B0-C435E10DD7C5}"/>
    <cellStyle name="40% - Accent5 3 7" xfId="2349" xr:uid="{00000000-0005-0000-0000-0000B7060000}"/>
    <cellStyle name="40% - Accent5 3 7 2" xfId="6656" xr:uid="{00000000-0005-0000-0000-0000B8060000}"/>
    <cellStyle name="40% - Accent5 3 7 2 2" xfId="15098" xr:uid="{9A963BB8-CB70-489A-87EB-C99FA179FEB5}"/>
    <cellStyle name="40% - Accent5 3 7 3" xfId="10880" xr:uid="{0462E410-5703-4FEB-8FB7-212AC3E96B90}"/>
    <cellStyle name="40% - Accent5 3 8" xfId="4590" xr:uid="{00000000-0005-0000-0000-0000B9060000}"/>
    <cellStyle name="40% - Accent5 3 8 2" xfId="13032" xr:uid="{F6D68493-5E42-4A88-A1E7-66A008F95C80}"/>
    <cellStyle name="40% - Accent5 3 9" xfId="8814" xr:uid="{A937205D-6A10-41C6-96B2-B5F085B1CBB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F8A72273-AE87-4429-ABB6-784E12197DEE}"/>
    <cellStyle name="40% - Accent5 4 2 2 3" xfId="11375" xr:uid="{7A2EBAE8-F74F-43C4-9E54-CE7B21603F10}"/>
    <cellStyle name="40% - Accent5 4 2 3" xfId="5006" xr:uid="{00000000-0005-0000-0000-0000BE060000}"/>
    <cellStyle name="40% - Accent5 4 2 3 2" xfId="13448" xr:uid="{188B409C-FEBB-4BCF-BC8A-5CAB03AE78C2}"/>
    <cellStyle name="40% - Accent5 4 2 4" xfId="9230" xr:uid="{CFB0000F-1FDF-4C82-AEE0-7FBB4AFC8F93}"/>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4D49B8E3-251A-40F9-B1BA-53D06BCCCEA1}"/>
    <cellStyle name="40% - Accent5 4 3 2 3" xfId="11788" xr:uid="{246624CC-ED58-4007-9598-99E8C682DE9E}"/>
    <cellStyle name="40% - Accent5 4 3 3" xfId="5419" xr:uid="{00000000-0005-0000-0000-0000C2060000}"/>
    <cellStyle name="40% - Accent5 4 3 3 2" xfId="13861" xr:uid="{7AFFD57B-F8F6-4102-9C6D-89B3FB062A76}"/>
    <cellStyle name="40% - Accent5 4 3 4" xfId="9643" xr:uid="{041B69BA-D194-471A-9040-A361319555E0}"/>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03BAF5EF-BA3F-4A41-A92E-9EE27591A9F7}"/>
    <cellStyle name="40% - Accent5 4 4 2 3" xfId="12201" xr:uid="{9F3FB950-B791-420B-A57D-AF7F9715670A}"/>
    <cellStyle name="40% - Accent5 4 4 3" xfId="5832" xr:uid="{00000000-0005-0000-0000-0000C6060000}"/>
    <cellStyle name="40% - Accent5 4 4 3 2" xfId="14274" xr:uid="{7AAD7E20-4D84-4245-9644-1C38D5DAB67C}"/>
    <cellStyle name="40% - Accent5 4 4 4" xfId="10056" xr:uid="{FD247E87-9CEE-4517-B671-C97787FEA977}"/>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728CC699-DEB4-424F-91D7-9DDEF60E8B3A}"/>
    <cellStyle name="40% - Accent5 4 5 2 3" xfId="12614" xr:uid="{B0DC5857-FD09-46E7-AA2C-5C2FBE6F7487}"/>
    <cellStyle name="40% - Accent5 4 5 3" xfId="6245" xr:uid="{00000000-0005-0000-0000-0000CA060000}"/>
    <cellStyle name="40% - Accent5 4 5 3 2" xfId="14687" xr:uid="{15DB7B1D-29A7-4B65-872B-2E450C14E498}"/>
    <cellStyle name="40% - Accent5 4 5 4" xfId="10469" xr:uid="{771C943F-6D19-4EEE-9E5E-0B768BDA4CC1}"/>
    <cellStyle name="40% - Accent5 4 6" xfId="2351" xr:uid="{00000000-0005-0000-0000-0000CB060000}"/>
    <cellStyle name="40% - Accent5 4 6 2" xfId="6658" xr:uid="{00000000-0005-0000-0000-0000CC060000}"/>
    <cellStyle name="40% - Accent5 4 6 2 2" xfId="15100" xr:uid="{6AAF2785-8647-4E10-B795-B0B98340CA76}"/>
    <cellStyle name="40% - Accent5 4 6 3" xfId="10882" xr:uid="{1FE3251B-6556-4E0A-89B0-04076C816A79}"/>
    <cellStyle name="40% - Accent5 4 7" xfId="4592" xr:uid="{00000000-0005-0000-0000-0000CD060000}"/>
    <cellStyle name="40% - Accent5 4 7 2" xfId="13034" xr:uid="{27C6FFC5-39A6-44BF-9345-9B187AF13126}"/>
    <cellStyle name="40% - Accent5 4 8" xfId="8816" xr:uid="{CF689594-0831-45C3-BF66-445A13815631}"/>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CA66AEA5-9BFE-4C09-AB39-237A1BFC3CEA}"/>
    <cellStyle name="40% - Accent5 5 2 3" xfId="11368" xr:uid="{7D2B9CCC-3ABD-49C1-BD37-3B74423B2EB0}"/>
    <cellStyle name="40% - Accent5 5 3" xfId="4999" xr:uid="{00000000-0005-0000-0000-0000D1060000}"/>
    <cellStyle name="40% - Accent5 5 3 2" xfId="13441" xr:uid="{6612689E-1D50-4E77-8FAE-3F31A7CB2B9E}"/>
    <cellStyle name="40% - Accent5 5 4" xfId="9223" xr:uid="{EBD3D497-D9CE-4CF4-8EDA-E47B9C98EC18}"/>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BB716151-CA52-4285-931D-573A0E11DCB8}"/>
    <cellStyle name="40% - Accent5 6 2 3" xfId="11781" xr:uid="{CE878ADE-1C71-42D9-9168-C1BA75C4CA3E}"/>
    <cellStyle name="40% - Accent5 6 3" xfId="5412" xr:uid="{00000000-0005-0000-0000-0000D5060000}"/>
    <cellStyle name="40% - Accent5 6 3 2" xfId="13854" xr:uid="{E0241ED6-98DA-435A-BC92-79AD222DFAB2}"/>
    <cellStyle name="40% - Accent5 6 4" xfId="9636" xr:uid="{996A12FE-6D48-4ACD-82F7-89DC4AF62092}"/>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63389652-38F1-46A5-8F83-FB819A614233}"/>
    <cellStyle name="40% - Accent5 7 2 3" xfId="12194" xr:uid="{B0F30606-A54F-410D-A990-99704E5D2685}"/>
    <cellStyle name="40% - Accent5 7 3" xfId="5825" xr:uid="{00000000-0005-0000-0000-0000D9060000}"/>
    <cellStyle name="40% - Accent5 7 3 2" xfId="14267" xr:uid="{3C2FB5A6-2C53-4796-9BE3-E9189C69EB59}"/>
    <cellStyle name="40% - Accent5 7 4" xfId="10049" xr:uid="{30DBB3BD-7583-4836-97F9-062BFD281D19}"/>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64A91454-47AD-4E54-B9DC-C01C57DEFC20}"/>
    <cellStyle name="40% - Accent5 8 2 3" xfId="12607" xr:uid="{93B2D917-448A-41EE-82D6-EACDFD423CCD}"/>
    <cellStyle name="40% - Accent5 8 3" xfId="6238" xr:uid="{00000000-0005-0000-0000-0000DD060000}"/>
    <cellStyle name="40% - Accent5 8 3 2" xfId="14680" xr:uid="{5D3A3AFE-BBCD-4F6B-A2C6-86B729AC83F1}"/>
    <cellStyle name="40% - Accent5 8 4" xfId="10462" xr:uid="{68F7CEEC-9246-492B-AE4C-CAF908D9C8DF}"/>
    <cellStyle name="40% - Accent5 9" xfId="2344" xr:uid="{00000000-0005-0000-0000-0000DE060000}"/>
    <cellStyle name="40% - Accent5 9 2" xfId="6651" xr:uid="{00000000-0005-0000-0000-0000DF060000}"/>
    <cellStyle name="40% - Accent5 9 2 2" xfId="15093" xr:uid="{68DD0C1B-7F97-4D43-85C1-CF599373F3CB}"/>
    <cellStyle name="40% - Accent5 9 3" xfId="10875" xr:uid="{7E777877-DA01-458D-9E97-727CFFA2C1FA}"/>
    <cellStyle name="40% - Accent6" xfId="89" builtinId="51" customBuiltin="1"/>
    <cellStyle name="40% - Accent6 10" xfId="4593" xr:uid="{00000000-0005-0000-0000-0000E1060000}"/>
    <cellStyle name="40% - Accent6 10 2" xfId="13035" xr:uid="{C9A29A3C-F78D-4ACB-99F7-D592E8311EDD}"/>
    <cellStyle name="40% - Accent6 11" xfId="8817" xr:uid="{E805D65B-529A-451F-BB77-5FFED8CA6FCB}"/>
    <cellStyle name="40% - Accent6 2" xfId="90" xr:uid="{00000000-0005-0000-0000-0000E2060000}"/>
    <cellStyle name="40% - Accent6 2 10" xfId="8818" xr:uid="{4622C745-DE96-40D7-9BD2-D3E1893F442E}"/>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A0ADD32D-ACCB-4DAF-A154-06D2E37C4B9E}"/>
    <cellStyle name="40% - Accent6 2 2 2 2 2 3" xfId="11379" xr:uid="{6A12001F-4F33-45FF-9C07-1BBCF0ADD461}"/>
    <cellStyle name="40% - Accent6 2 2 2 2 3" xfId="5010" xr:uid="{00000000-0005-0000-0000-0000E8060000}"/>
    <cellStyle name="40% - Accent6 2 2 2 2 3 2" xfId="13452" xr:uid="{3096C724-4D54-42FA-A88C-FA99B30E947E}"/>
    <cellStyle name="40% - Accent6 2 2 2 2 4" xfId="9234" xr:uid="{6504C1E6-AD87-4408-8B93-A821C35188A5}"/>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24321950-25F5-4BD0-8827-53AAC5F2182D}"/>
    <cellStyle name="40% - Accent6 2 2 2 3 2 3" xfId="11792" xr:uid="{3CB5E92E-855F-457A-9D99-772803876401}"/>
    <cellStyle name="40% - Accent6 2 2 2 3 3" xfId="5423" xr:uid="{00000000-0005-0000-0000-0000EC060000}"/>
    <cellStyle name="40% - Accent6 2 2 2 3 3 2" xfId="13865" xr:uid="{379EF2DB-61AD-4F32-AD16-81E85F264E8B}"/>
    <cellStyle name="40% - Accent6 2 2 2 3 4" xfId="9647" xr:uid="{748DF8A1-EA03-4EBF-9602-266EB7E078EC}"/>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8BBE174F-3B0F-434F-85C4-81EA15CDA53D}"/>
    <cellStyle name="40% - Accent6 2 2 2 4 2 3" xfId="12205" xr:uid="{783D7628-4B61-45AE-BBA4-9AE0E46F8A60}"/>
    <cellStyle name="40% - Accent6 2 2 2 4 3" xfId="5836" xr:uid="{00000000-0005-0000-0000-0000F0060000}"/>
    <cellStyle name="40% - Accent6 2 2 2 4 3 2" xfId="14278" xr:uid="{2A1CF5BB-FEAB-46EE-A130-8216074C0B04}"/>
    <cellStyle name="40% - Accent6 2 2 2 4 4" xfId="10060" xr:uid="{75556FCC-C3F5-48EF-8FC5-93D05A826203}"/>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0842A04A-2C75-4F2B-B2EA-0731F2881212}"/>
    <cellStyle name="40% - Accent6 2 2 2 5 2 3" xfId="12618" xr:uid="{7C0BE739-4E96-427A-8C29-DB402545CB5B}"/>
    <cellStyle name="40% - Accent6 2 2 2 5 3" xfId="6249" xr:uid="{00000000-0005-0000-0000-0000F4060000}"/>
    <cellStyle name="40% - Accent6 2 2 2 5 3 2" xfId="14691" xr:uid="{E4678D8D-BE83-498D-BB6A-C923F0ABFA2B}"/>
    <cellStyle name="40% - Accent6 2 2 2 5 4" xfId="10473" xr:uid="{A77479DF-81DF-4AA5-ADE6-9D022B420EE3}"/>
    <cellStyle name="40% - Accent6 2 2 2 6" xfId="2355" xr:uid="{00000000-0005-0000-0000-0000F5060000}"/>
    <cellStyle name="40% - Accent6 2 2 2 6 2" xfId="6662" xr:uid="{00000000-0005-0000-0000-0000F6060000}"/>
    <cellStyle name="40% - Accent6 2 2 2 6 2 2" xfId="15104" xr:uid="{E0DFC762-D024-41F3-91A0-982646404D6E}"/>
    <cellStyle name="40% - Accent6 2 2 2 6 3" xfId="10886" xr:uid="{023831C4-9AAF-409C-960F-B629975D2F79}"/>
    <cellStyle name="40% - Accent6 2 2 2 7" xfId="4596" xr:uid="{00000000-0005-0000-0000-0000F7060000}"/>
    <cellStyle name="40% - Accent6 2 2 2 7 2" xfId="13038" xr:uid="{7171FABF-EDDB-4C22-8937-72CFBFFBF20C}"/>
    <cellStyle name="40% - Accent6 2 2 2 8" xfId="8820" xr:uid="{69C6F087-F5A7-40F9-A616-454E0DA09796}"/>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2676BA5D-4BA0-4035-A181-729587D4183B}"/>
    <cellStyle name="40% - Accent6 2 2 3 2 3" xfId="11378" xr:uid="{3C2AD854-066E-408E-8D83-EA6268C1D60C}"/>
    <cellStyle name="40% - Accent6 2 2 3 3" xfId="5009" xr:uid="{00000000-0005-0000-0000-0000FB060000}"/>
    <cellStyle name="40% - Accent6 2 2 3 3 2" xfId="13451" xr:uid="{3B3099AA-1A6A-41DC-A41E-F0C2FB34080B}"/>
    <cellStyle name="40% - Accent6 2 2 3 4" xfId="9233" xr:uid="{A317CB64-E5AE-4238-87DF-59BFC36423A2}"/>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31154F12-FA59-4096-804E-AB20790546FC}"/>
    <cellStyle name="40% - Accent6 2 2 4 2 3" xfId="11791" xr:uid="{77609499-63C4-4B56-A8FD-34092116A72F}"/>
    <cellStyle name="40% - Accent6 2 2 4 3" xfId="5422" xr:uid="{00000000-0005-0000-0000-0000FF060000}"/>
    <cellStyle name="40% - Accent6 2 2 4 3 2" xfId="13864" xr:uid="{BC208C60-7046-4F9C-ACF4-0044A4AEEF09}"/>
    <cellStyle name="40% - Accent6 2 2 4 4" xfId="9646" xr:uid="{7AEB0C2E-5F4E-40B1-86DF-FA0F83AEA94C}"/>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94694C58-F1D2-47FF-9F96-36649AB4B91D}"/>
    <cellStyle name="40% - Accent6 2 2 5 2 3" xfId="12204" xr:uid="{C87C679F-42F8-41C2-BCF4-AEAF0041C0CD}"/>
    <cellStyle name="40% - Accent6 2 2 5 3" xfId="5835" xr:uid="{00000000-0005-0000-0000-000003070000}"/>
    <cellStyle name="40% - Accent6 2 2 5 3 2" xfId="14277" xr:uid="{775233D7-5802-4146-B203-8F5AB5616F36}"/>
    <cellStyle name="40% - Accent6 2 2 5 4" xfId="10059" xr:uid="{E7DF0DF5-2687-4EE6-BC93-42B7858BD9EF}"/>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111C0ED5-539C-40C9-9F33-7F9240667B1A}"/>
    <cellStyle name="40% - Accent6 2 2 6 2 3" xfId="12617" xr:uid="{65367BBE-821A-46FE-BA0F-A1C4B7969FD4}"/>
    <cellStyle name="40% - Accent6 2 2 6 3" xfId="6248" xr:uid="{00000000-0005-0000-0000-000007070000}"/>
    <cellStyle name="40% - Accent6 2 2 6 3 2" xfId="14690" xr:uid="{4F3B643D-60EE-4E11-B1D7-35F8D48B9429}"/>
    <cellStyle name="40% - Accent6 2 2 6 4" xfId="10472" xr:uid="{81CD0DA2-13F1-4C45-97CF-6D350EE7B214}"/>
    <cellStyle name="40% - Accent6 2 2 7" xfId="2354" xr:uid="{00000000-0005-0000-0000-000008070000}"/>
    <cellStyle name="40% - Accent6 2 2 7 2" xfId="6661" xr:uid="{00000000-0005-0000-0000-000009070000}"/>
    <cellStyle name="40% - Accent6 2 2 7 2 2" xfId="15103" xr:uid="{1DB609DC-F3A7-4764-ACE9-7B58C628BBB6}"/>
    <cellStyle name="40% - Accent6 2 2 7 3" xfId="10885" xr:uid="{2A26BF06-60CA-410F-AEBE-D898BB9F7239}"/>
    <cellStyle name="40% - Accent6 2 2 8" xfId="4595" xr:uid="{00000000-0005-0000-0000-00000A070000}"/>
    <cellStyle name="40% - Accent6 2 2 8 2" xfId="13037" xr:uid="{7239DDC5-9C67-4D5F-A08E-45AF6D07121E}"/>
    <cellStyle name="40% - Accent6 2 2 9" xfId="8819" xr:uid="{2AA5BDAC-C736-4EEA-A78E-D3365DD6C7D5}"/>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7D2329A2-14AB-41D6-9C12-DA972A84B6F1}"/>
    <cellStyle name="40% - Accent6 2 3 2 2 3" xfId="11380" xr:uid="{66F1519C-DDCD-4E58-B422-7F45ABC2A134}"/>
    <cellStyle name="40% - Accent6 2 3 2 3" xfId="5011" xr:uid="{00000000-0005-0000-0000-00000F070000}"/>
    <cellStyle name="40% - Accent6 2 3 2 3 2" xfId="13453" xr:uid="{54CEEEAB-E458-4E9C-AF0C-14FDECE2AE5A}"/>
    <cellStyle name="40% - Accent6 2 3 2 4" xfId="9235" xr:uid="{BF4D08AB-EAAF-463A-A81C-6D1B81A18DB8}"/>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69DB442C-39FA-46F0-BF25-E66C5D0D54A5}"/>
    <cellStyle name="40% - Accent6 2 3 3 2 3" xfId="11793" xr:uid="{FFF5608D-7E49-4292-8FCD-6D65ACA4C043}"/>
    <cellStyle name="40% - Accent6 2 3 3 3" xfId="5424" xr:uid="{00000000-0005-0000-0000-000013070000}"/>
    <cellStyle name="40% - Accent6 2 3 3 3 2" xfId="13866" xr:uid="{FA0722E3-125B-422F-8F61-470E208C7E54}"/>
    <cellStyle name="40% - Accent6 2 3 3 4" xfId="9648" xr:uid="{D7988561-F444-4F1C-A06B-D90BEC5B0669}"/>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22C11E30-9F0D-41D3-B022-ED9800D35D3D}"/>
    <cellStyle name="40% - Accent6 2 3 4 2 3" xfId="12206" xr:uid="{105DEAC7-6874-4A17-AB21-BC3DDBAD9A49}"/>
    <cellStyle name="40% - Accent6 2 3 4 3" xfId="5837" xr:uid="{00000000-0005-0000-0000-000017070000}"/>
    <cellStyle name="40% - Accent6 2 3 4 3 2" xfId="14279" xr:uid="{47C2C8A6-7896-4595-8785-4581BD1C90A5}"/>
    <cellStyle name="40% - Accent6 2 3 4 4" xfId="10061" xr:uid="{3383BF42-8109-4AB9-B2B8-B5795F433D81}"/>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56012BBD-F297-490C-BE0D-894232845A63}"/>
    <cellStyle name="40% - Accent6 2 3 5 2 3" xfId="12619" xr:uid="{4EDCDF77-1AC6-4F54-A2CF-CE0CF467A705}"/>
    <cellStyle name="40% - Accent6 2 3 5 3" xfId="6250" xr:uid="{00000000-0005-0000-0000-00001B070000}"/>
    <cellStyle name="40% - Accent6 2 3 5 3 2" xfId="14692" xr:uid="{72B176F5-B0D7-443E-98F4-AA930F33D827}"/>
    <cellStyle name="40% - Accent6 2 3 5 4" xfId="10474" xr:uid="{B3F12285-D1B3-4E33-ABDC-A2C82D665FF4}"/>
    <cellStyle name="40% - Accent6 2 3 6" xfId="2356" xr:uid="{00000000-0005-0000-0000-00001C070000}"/>
    <cellStyle name="40% - Accent6 2 3 6 2" xfId="6663" xr:uid="{00000000-0005-0000-0000-00001D070000}"/>
    <cellStyle name="40% - Accent6 2 3 6 2 2" xfId="15105" xr:uid="{D67C05FE-2757-40EA-AA76-873970660894}"/>
    <cellStyle name="40% - Accent6 2 3 6 3" xfId="10887" xr:uid="{3134DB1E-BF19-4C4F-8D6A-593CE30D557A}"/>
    <cellStyle name="40% - Accent6 2 3 7" xfId="4597" xr:uid="{00000000-0005-0000-0000-00001E070000}"/>
    <cellStyle name="40% - Accent6 2 3 7 2" xfId="13039" xr:uid="{69353CF7-3E87-41C1-841F-684614ACEBD6}"/>
    <cellStyle name="40% - Accent6 2 3 8" xfId="8821" xr:uid="{46D51685-1513-406E-8B2A-3DEE902FB113}"/>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B07FB78A-66C1-4244-BABF-BE47656F8F53}"/>
    <cellStyle name="40% - Accent6 2 4 2 3" xfId="11377" xr:uid="{0C5949FA-87FA-432C-A617-329B4F0650FC}"/>
    <cellStyle name="40% - Accent6 2 4 3" xfId="5008" xr:uid="{00000000-0005-0000-0000-000022070000}"/>
    <cellStyle name="40% - Accent6 2 4 3 2" xfId="13450" xr:uid="{355724CB-4F55-429A-80F2-46BE2872F300}"/>
    <cellStyle name="40% - Accent6 2 4 4" xfId="9232" xr:uid="{51FE067C-0795-44F6-BBE8-ACB2997E5CE8}"/>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911BAA0D-0CED-45A2-A927-0798B3A708BC}"/>
    <cellStyle name="40% - Accent6 2 5 2 3" xfId="11790" xr:uid="{BC8E7CC0-60A4-4694-A7A6-E4F2B3BD6F83}"/>
    <cellStyle name="40% - Accent6 2 5 3" xfId="5421" xr:uid="{00000000-0005-0000-0000-000026070000}"/>
    <cellStyle name="40% - Accent6 2 5 3 2" xfId="13863" xr:uid="{0479BA28-3801-4202-AF99-26CC4FBEA302}"/>
    <cellStyle name="40% - Accent6 2 5 4" xfId="9645" xr:uid="{CA789A0D-5747-4F07-8BA6-C09BD8DECA85}"/>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31CADF6E-BD24-4350-994F-A10E3E50F9AF}"/>
    <cellStyle name="40% - Accent6 2 6 2 3" xfId="12203" xr:uid="{FE9A9F75-A237-4FA7-9350-9C88E12DA245}"/>
    <cellStyle name="40% - Accent6 2 6 3" xfId="5834" xr:uid="{00000000-0005-0000-0000-00002A070000}"/>
    <cellStyle name="40% - Accent6 2 6 3 2" xfId="14276" xr:uid="{CAE85432-23D2-478D-B34B-F50C6E41BEF6}"/>
    <cellStyle name="40% - Accent6 2 6 4" xfId="10058" xr:uid="{07445FC1-6CA6-450D-82BB-8E3D0D48247F}"/>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BB82F8BA-0CF0-4F4D-BFF5-922F256E272E}"/>
    <cellStyle name="40% - Accent6 2 7 2 3" xfId="12616" xr:uid="{05B5EE25-8C44-4640-B0AD-7E219E062385}"/>
    <cellStyle name="40% - Accent6 2 7 3" xfId="6247" xr:uid="{00000000-0005-0000-0000-00002E070000}"/>
    <cellStyle name="40% - Accent6 2 7 3 2" xfId="14689" xr:uid="{6949394D-CA84-4877-9BE4-185318495622}"/>
    <cellStyle name="40% - Accent6 2 7 4" xfId="10471" xr:uid="{389F0124-24C8-463E-AD60-56974915B930}"/>
    <cellStyle name="40% - Accent6 2 8" xfId="2353" xr:uid="{00000000-0005-0000-0000-00002F070000}"/>
    <cellStyle name="40% - Accent6 2 8 2" xfId="6660" xr:uid="{00000000-0005-0000-0000-000030070000}"/>
    <cellStyle name="40% - Accent6 2 8 2 2" xfId="15102" xr:uid="{928FABF9-044D-482E-A720-F60B8C0F2ABE}"/>
    <cellStyle name="40% - Accent6 2 8 3" xfId="10884" xr:uid="{A35BA5D3-C271-4B04-AF53-1FE84E9FB88E}"/>
    <cellStyle name="40% - Accent6 2 9" xfId="4594" xr:uid="{00000000-0005-0000-0000-000031070000}"/>
    <cellStyle name="40% - Accent6 2 9 2" xfId="13036" xr:uid="{8DDA363A-A94F-42BF-9E9A-47A53C2EA64E}"/>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97DCB281-A126-4C51-9E83-133ACCDC72CC}"/>
    <cellStyle name="40% - Accent6 3 2 2 2 3" xfId="11382" xr:uid="{6FD70F15-E13E-4741-9E3A-24DC5AA4FD6B}"/>
    <cellStyle name="40% - Accent6 3 2 2 3" xfId="5013" xr:uid="{00000000-0005-0000-0000-000037070000}"/>
    <cellStyle name="40% - Accent6 3 2 2 3 2" xfId="13455" xr:uid="{03C018D2-CB16-46A1-B9FF-B5E118E3237D}"/>
    <cellStyle name="40% - Accent6 3 2 2 4" xfId="9237" xr:uid="{F168364E-F111-4756-BE31-D5378461A4D7}"/>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2D2CEC3D-3635-41BB-A15B-02BE5A74B47E}"/>
    <cellStyle name="40% - Accent6 3 2 3 2 3" xfId="11795" xr:uid="{75C000E8-B320-40CB-8A41-31D3A6E4F27A}"/>
    <cellStyle name="40% - Accent6 3 2 3 3" xfId="5426" xr:uid="{00000000-0005-0000-0000-00003B070000}"/>
    <cellStyle name="40% - Accent6 3 2 3 3 2" xfId="13868" xr:uid="{EA0545AA-169C-4A4E-AA5E-0FDD3ACBCF8E}"/>
    <cellStyle name="40% - Accent6 3 2 3 4" xfId="9650" xr:uid="{8F43AD10-58FB-4657-9961-9581CAD1D3C4}"/>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2DDB1208-5F30-4FC0-BB95-72FE657D188C}"/>
    <cellStyle name="40% - Accent6 3 2 4 2 3" xfId="12208" xr:uid="{561C5BBA-3F48-4C3E-888F-03FECF7AB2E9}"/>
    <cellStyle name="40% - Accent6 3 2 4 3" xfId="5839" xr:uid="{00000000-0005-0000-0000-00003F070000}"/>
    <cellStyle name="40% - Accent6 3 2 4 3 2" xfId="14281" xr:uid="{9543D1F5-D570-41DD-9986-D0579FAE8D92}"/>
    <cellStyle name="40% - Accent6 3 2 4 4" xfId="10063" xr:uid="{FAA07258-083D-4BF3-A9E7-8B99EC6552EB}"/>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DBC19552-7198-4874-918C-8D767A404234}"/>
    <cellStyle name="40% - Accent6 3 2 5 2 3" xfId="12621" xr:uid="{88129510-5B54-4C61-9020-FE172272991A}"/>
    <cellStyle name="40% - Accent6 3 2 5 3" xfId="6252" xr:uid="{00000000-0005-0000-0000-000043070000}"/>
    <cellStyle name="40% - Accent6 3 2 5 3 2" xfId="14694" xr:uid="{AE4190C6-855F-4EC6-B949-D7572EFE48E0}"/>
    <cellStyle name="40% - Accent6 3 2 5 4" xfId="10476" xr:uid="{343277B7-58CF-40C9-93A3-B4F37C4A2595}"/>
    <cellStyle name="40% - Accent6 3 2 6" xfId="2358" xr:uid="{00000000-0005-0000-0000-000044070000}"/>
    <cellStyle name="40% - Accent6 3 2 6 2" xfId="6665" xr:uid="{00000000-0005-0000-0000-000045070000}"/>
    <cellStyle name="40% - Accent6 3 2 6 2 2" xfId="15107" xr:uid="{6B53E8C3-3653-4141-8E0A-EEC928A44AFC}"/>
    <cellStyle name="40% - Accent6 3 2 6 3" xfId="10889" xr:uid="{3BF65345-813C-4F0E-9DE8-5F30F1C9C327}"/>
    <cellStyle name="40% - Accent6 3 2 7" xfId="4599" xr:uid="{00000000-0005-0000-0000-000046070000}"/>
    <cellStyle name="40% - Accent6 3 2 7 2" xfId="13041" xr:uid="{C77C6DA9-7F48-4592-9207-05AA6C3B5277}"/>
    <cellStyle name="40% - Accent6 3 2 8" xfId="8823" xr:uid="{73F49593-D190-440F-8957-C3649E192385}"/>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2B6D11D0-0487-420B-A136-4313B4B381C5}"/>
    <cellStyle name="40% - Accent6 3 3 2 3" xfId="11381" xr:uid="{C4490B1C-6368-45A4-9431-51F5D56BC71C}"/>
    <cellStyle name="40% - Accent6 3 3 3" xfId="5012" xr:uid="{00000000-0005-0000-0000-00004A070000}"/>
    <cellStyle name="40% - Accent6 3 3 3 2" xfId="13454" xr:uid="{C0FA46E4-212B-44A9-94E1-5035F53BAF17}"/>
    <cellStyle name="40% - Accent6 3 3 4" xfId="9236" xr:uid="{C0537B68-6472-428E-878C-815E6346473F}"/>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6E67C8A3-C2B0-4DB1-A905-140076C62B68}"/>
    <cellStyle name="40% - Accent6 3 4 2 3" xfId="11794" xr:uid="{289BE5DF-B48C-457E-AC89-23FAD5E0CCE9}"/>
    <cellStyle name="40% - Accent6 3 4 3" xfId="5425" xr:uid="{00000000-0005-0000-0000-00004E070000}"/>
    <cellStyle name="40% - Accent6 3 4 3 2" xfId="13867" xr:uid="{42F1110C-5595-4B51-A716-7116143E267B}"/>
    <cellStyle name="40% - Accent6 3 4 4" xfId="9649" xr:uid="{6925935B-9A99-4D26-90D7-57200FB94E45}"/>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691EEB68-0E45-4EA2-A522-0C07AF176302}"/>
    <cellStyle name="40% - Accent6 3 5 2 3" xfId="12207" xr:uid="{2DD7E92C-7193-4ABA-BFC7-7988A6ECB832}"/>
    <cellStyle name="40% - Accent6 3 5 3" xfId="5838" xr:uid="{00000000-0005-0000-0000-000052070000}"/>
    <cellStyle name="40% - Accent6 3 5 3 2" xfId="14280" xr:uid="{51AB7090-3C4B-49A6-A46B-F938CB42ACAF}"/>
    <cellStyle name="40% - Accent6 3 5 4" xfId="10062" xr:uid="{3AD334BF-7170-4C38-B55A-2EEE132B4CBA}"/>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1DAE157C-9D94-4716-80F9-92FB69DE930C}"/>
    <cellStyle name="40% - Accent6 3 6 2 3" xfId="12620" xr:uid="{9E5A46DC-3A63-4BA0-B4FD-8CD421311457}"/>
    <cellStyle name="40% - Accent6 3 6 3" xfId="6251" xr:uid="{00000000-0005-0000-0000-000056070000}"/>
    <cellStyle name="40% - Accent6 3 6 3 2" xfId="14693" xr:uid="{C451B5E6-C4E2-45FE-8705-4C296FCE7255}"/>
    <cellStyle name="40% - Accent6 3 6 4" xfId="10475" xr:uid="{04C15E9A-6A7A-4C00-BF80-788C2B1C1CB8}"/>
    <cellStyle name="40% - Accent6 3 7" xfId="2357" xr:uid="{00000000-0005-0000-0000-000057070000}"/>
    <cellStyle name="40% - Accent6 3 7 2" xfId="6664" xr:uid="{00000000-0005-0000-0000-000058070000}"/>
    <cellStyle name="40% - Accent6 3 7 2 2" xfId="15106" xr:uid="{ACFB2F87-C238-4BFC-B84E-049EF0F27A43}"/>
    <cellStyle name="40% - Accent6 3 7 3" xfId="10888" xr:uid="{E56464B4-8594-46A0-9E48-77389AB53586}"/>
    <cellStyle name="40% - Accent6 3 8" xfId="4598" xr:uid="{00000000-0005-0000-0000-000059070000}"/>
    <cellStyle name="40% - Accent6 3 8 2" xfId="13040" xr:uid="{09F4BB5D-99DD-468E-BA3B-B1B6E3B4577B}"/>
    <cellStyle name="40% - Accent6 3 9" xfId="8822" xr:uid="{A4E2E0E2-8176-4C46-B9E5-58DDC5BA3A21}"/>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4DEC2175-E378-4385-BC05-4C51F0E6A9DB}"/>
    <cellStyle name="40% - Accent6 4 2 2 3" xfId="11383" xr:uid="{F2ABE39B-98A3-4221-B43B-C4EFAC47CE58}"/>
    <cellStyle name="40% - Accent6 4 2 3" xfId="5014" xr:uid="{00000000-0005-0000-0000-00005E070000}"/>
    <cellStyle name="40% - Accent6 4 2 3 2" xfId="13456" xr:uid="{76167359-D433-44B9-A297-26C606DF052D}"/>
    <cellStyle name="40% - Accent6 4 2 4" xfId="9238" xr:uid="{697B88A9-4D78-429B-9E4B-4208B16AFBC9}"/>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142AED7D-95A5-40DA-A426-0E1C1B7183ED}"/>
    <cellStyle name="40% - Accent6 4 3 2 3" xfId="11796" xr:uid="{A7D3705A-8C21-4A4B-AA15-2861100ABA6F}"/>
    <cellStyle name="40% - Accent6 4 3 3" xfId="5427" xr:uid="{00000000-0005-0000-0000-000062070000}"/>
    <cellStyle name="40% - Accent6 4 3 3 2" xfId="13869" xr:uid="{C6B990B6-B31A-49A8-99DB-9BDFC99892C0}"/>
    <cellStyle name="40% - Accent6 4 3 4" xfId="9651" xr:uid="{C23F9EBE-6E75-4270-A0AE-1395B4CC7B79}"/>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45825C52-64CF-4374-A484-D0402471ECC4}"/>
    <cellStyle name="40% - Accent6 4 4 2 3" xfId="12209" xr:uid="{8008E638-47E1-4A56-B0E3-E64787FA16B5}"/>
    <cellStyle name="40% - Accent6 4 4 3" xfId="5840" xr:uid="{00000000-0005-0000-0000-000066070000}"/>
    <cellStyle name="40% - Accent6 4 4 3 2" xfId="14282" xr:uid="{15AF85B8-FDAB-44CC-87AD-48B38380A1D9}"/>
    <cellStyle name="40% - Accent6 4 4 4" xfId="10064" xr:uid="{25739E78-34A6-4426-972C-9EDD878FBC24}"/>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7894EAF9-C5FD-4975-B763-687516348C7E}"/>
    <cellStyle name="40% - Accent6 4 5 2 3" xfId="12622" xr:uid="{EE1181C4-C398-4033-8190-39E6FC1C402E}"/>
    <cellStyle name="40% - Accent6 4 5 3" xfId="6253" xr:uid="{00000000-0005-0000-0000-00006A070000}"/>
    <cellStyle name="40% - Accent6 4 5 3 2" xfId="14695" xr:uid="{3F648E0F-EEF2-42E2-8FA5-7725064FA088}"/>
    <cellStyle name="40% - Accent6 4 5 4" xfId="10477" xr:uid="{CC95E3FC-6B7D-41F5-93EE-31B93047C44A}"/>
    <cellStyle name="40% - Accent6 4 6" xfId="2359" xr:uid="{00000000-0005-0000-0000-00006B070000}"/>
    <cellStyle name="40% - Accent6 4 6 2" xfId="6666" xr:uid="{00000000-0005-0000-0000-00006C070000}"/>
    <cellStyle name="40% - Accent6 4 6 2 2" xfId="15108" xr:uid="{619C1425-90A0-4332-B403-9BC94CD0A10B}"/>
    <cellStyle name="40% - Accent6 4 6 3" xfId="10890" xr:uid="{0B0C552E-00C0-4605-BBD4-EB5D5AD8C75A}"/>
    <cellStyle name="40% - Accent6 4 7" xfId="4600" xr:uid="{00000000-0005-0000-0000-00006D070000}"/>
    <cellStyle name="40% - Accent6 4 7 2" xfId="13042" xr:uid="{3B5BE4A6-F890-4F1D-83D5-38F219D0F7D9}"/>
    <cellStyle name="40% - Accent6 4 8" xfId="8824" xr:uid="{11A296EC-340C-4EEB-B482-AA79AA9C951F}"/>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0F158C4C-DC7C-445F-BB39-BABB29DB38A4}"/>
    <cellStyle name="40% - Accent6 5 2 3" xfId="11376" xr:uid="{1768E543-AB94-4E79-98E5-3151A780C6EB}"/>
    <cellStyle name="40% - Accent6 5 3" xfId="5007" xr:uid="{00000000-0005-0000-0000-000071070000}"/>
    <cellStyle name="40% - Accent6 5 3 2" xfId="13449" xr:uid="{88CF8903-A11C-4138-88EB-5DE5799D4D59}"/>
    <cellStyle name="40% - Accent6 5 4" xfId="9231" xr:uid="{C7ADD443-BA58-4D21-9583-BCE36C21BE0B}"/>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F0F82418-5A78-4F1A-B764-FCF23FC36014}"/>
    <cellStyle name="40% - Accent6 6 2 3" xfId="11789" xr:uid="{E55339B1-92D1-408E-B96F-72C78FE2BCE3}"/>
    <cellStyle name="40% - Accent6 6 3" xfId="5420" xr:uid="{00000000-0005-0000-0000-000075070000}"/>
    <cellStyle name="40% - Accent6 6 3 2" xfId="13862" xr:uid="{FBB327A3-58EC-4CC8-9413-6838D8D5B514}"/>
    <cellStyle name="40% - Accent6 6 4" xfId="9644" xr:uid="{2D339A40-7CFC-44C3-A1EA-A1830FC5C51B}"/>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B8A9695D-7E5F-4FDE-B36A-FB2202196256}"/>
    <cellStyle name="40% - Accent6 7 2 3" xfId="12202" xr:uid="{49EFAEDC-380A-4193-9263-3748A2D6FAD1}"/>
    <cellStyle name="40% - Accent6 7 3" xfId="5833" xr:uid="{00000000-0005-0000-0000-000079070000}"/>
    <cellStyle name="40% - Accent6 7 3 2" xfId="14275" xr:uid="{04ABB369-4FE6-4FD1-BFD9-E272CC42778C}"/>
    <cellStyle name="40% - Accent6 7 4" xfId="10057" xr:uid="{7163F05F-1B62-4F09-8225-896FA5FD9F16}"/>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D74A182A-5514-4FB0-837E-5AEA7419B314}"/>
    <cellStyle name="40% - Accent6 8 2 3" xfId="12615" xr:uid="{AF7F00E4-E547-4F55-8342-6EAE38310975}"/>
    <cellStyle name="40% - Accent6 8 3" xfId="6246" xr:uid="{00000000-0005-0000-0000-00007D070000}"/>
    <cellStyle name="40% - Accent6 8 3 2" xfId="14688" xr:uid="{264D2158-66CF-4C68-8968-1F0A05C2B910}"/>
    <cellStyle name="40% - Accent6 8 4" xfId="10470" xr:uid="{665887DF-F304-40F6-A089-9D8D4846F3F1}"/>
    <cellStyle name="40% - Accent6 9" xfId="2352" xr:uid="{00000000-0005-0000-0000-00007E070000}"/>
    <cellStyle name="40% - Accent6 9 2" xfId="6659" xr:uid="{00000000-0005-0000-0000-00007F070000}"/>
    <cellStyle name="40% - Accent6 9 2 2" xfId="15101" xr:uid="{800BACE3-7BE0-47B7-BC5D-79E2C7EA3655}"/>
    <cellStyle name="40% - Accent6 9 3" xfId="10883" xr:uid="{7A33466A-366B-4C3E-A2C0-21FEB0C0ACE4}"/>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E2C5431A-6DB8-45AC-A0BC-6A5865A0E12E}"/>
    <cellStyle name="Comma 4 2 2 2 10 3" xfId="11208" xr:uid="{EAB28989-AACB-469C-AF4C-44A383D88EF6}"/>
    <cellStyle name="Comma 4 2 2 2 11" xfId="4601" xr:uid="{00000000-0005-0000-0000-0000A3070000}"/>
    <cellStyle name="Comma 4 2 2 2 11 2" xfId="13043" xr:uid="{1C6EA17A-9415-4413-8508-AB406BF6A2AA}"/>
    <cellStyle name="Comma 4 2 2 2 12" xfId="8825" xr:uid="{F56697D5-C0DF-46E0-B173-EF863F9EB687}"/>
    <cellStyle name="Comma 4 2 2 2 2" xfId="129" xr:uid="{00000000-0005-0000-0000-0000A4070000}"/>
    <cellStyle name="Comma 4 2 2 2 2 10" xfId="4602" xr:uid="{00000000-0005-0000-0000-0000A5070000}"/>
    <cellStyle name="Comma 4 2 2 2 2 10 2" xfId="13044" xr:uid="{680EF4A5-5435-46F9-B187-768CBDD30E1F}"/>
    <cellStyle name="Comma 4 2 2 2 2 11" xfId="8826" xr:uid="{2AD97A4F-C325-4C22-83ED-49ACB82B5347}"/>
    <cellStyle name="Comma 4 2 2 2 2 2" xfId="130" xr:uid="{00000000-0005-0000-0000-0000A6070000}"/>
    <cellStyle name="Comma 4 2 2 2 2 2 10" xfId="8827" xr:uid="{965DFB3F-8C5F-46C2-91A0-20BC760498ED}"/>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47701D2B-7E71-499D-9206-7EC2DBE1F358}"/>
    <cellStyle name="Comma 4 2 2 2 2 2 2 2 3" xfId="11386" xr:uid="{8DD06CBF-67F9-4D98-B39F-4847B63DE8A8}"/>
    <cellStyle name="Comma 4 2 2 2 2 2 2 3" xfId="5017" xr:uid="{00000000-0005-0000-0000-0000AA070000}"/>
    <cellStyle name="Comma 4 2 2 2 2 2 2 3 2" xfId="13459" xr:uid="{DD8E75E3-538F-48AC-941C-5F7C1838764C}"/>
    <cellStyle name="Comma 4 2 2 2 2 2 2 4" xfId="9241" xr:uid="{00924B49-52B5-4D63-A731-A70CA50ED019}"/>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0229D3F0-222C-47F1-94A2-249B8B1A6A77}"/>
    <cellStyle name="Comma 4 2 2 2 2 2 3 2 3" xfId="11799" xr:uid="{99FDF6E0-CE15-4869-9E71-EF2F9DA6BF3E}"/>
    <cellStyle name="Comma 4 2 2 2 2 2 3 3" xfId="5430" xr:uid="{00000000-0005-0000-0000-0000AE070000}"/>
    <cellStyle name="Comma 4 2 2 2 2 2 3 3 2" xfId="13872" xr:uid="{DED624C3-DED2-4C09-B8CA-63E22543C10D}"/>
    <cellStyle name="Comma 4 2 2 2 2 2 3 4" xfId="9654" xr:uid="{5BCB21B7-048E-45C8-8BA0-BAE15617C255}"/>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045FD13A-7FDA-4888-A70A-8A368E6D3AA5}"/>
    <cellStyle name="Comma 4 2 2 2 2 2 4 2 3" xfId="12212" xr:uid="{E5C303E4-F8FF-4E4A-9559-5CB7946E037B}"/>
    <cellStyle name="Comma 4 2 2 2 2 2 4 3" xfId="5843" xr:uid="{00000000-0005-0000-0000-0000B2070000}"/>
    <cellStyle name="Comma 4 2 2 2 2 2 4 3 2" xfId="14285" xr:uid="{334C844A-A375-4A96-B9AD-73599249ECC8}"/>
    <cellStyle name="Comma 4 2 2 2 2 2 4 4" xfId="10067" xr:uid="{F66F61F5-64CA-43B3-B5C3-D632445718E4}"/>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4FBC7F6B-57CB-481A-B85B-4F48D1BC46B5}"/>
    <cellStyle name="Comma 4 2 2 2 2 2 5 2 3" xfId="12625" xr:uid="{5CCDFFA4-CC70-48E5-8304-1A9967088E98}"/>
    <cellStyle name="Comma 4 2 2 2 2 2 5 3" xfId="6256" xr:uid="{00000000-0005-0000-0000-0000B6070000}"/>
    <cellStyle name="Comma 4 2 2 2 2 2 5 3 2" xfId="14698" xr:uid="{A075C713-09D5-415D-8A4B-9D256E67C06F}"/>
    <cellStyle name="Comma 4 2 2 2 2 2 5 4" xfId="10480" xr:uid="{2E9890AA-0CC3-4C2C-BFF9-22722C670F6F}"/>
    <cellStyle name="Comma 4 2 2 2 2 2 6" xfId="2384" xr:uid="{00000000-0005-0000-0000-0000B7070000}"/>
    <cellStyle name="Comma 4 2 2 2 2 2 6 2" xfId="6669" xr:uid="{00000000-0005-0000-0000-0000B8070000}"/>
    <cellStyle name="Comma 4 2 2 2 2 2 6 2 2" xfId="15111" xr:uid="{8950FABF-77D8-4963-B198-2832CA68C37C}"/>
    <cellStyle name="Comma 4 2 2 2 2 2 6 3" xfId="10893" xr:uid="{FE595E24-2853-45D2-90DE-975C83B1A422}"/>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A715567C-CF5B-472F-9178-7F65E23810D1}"/>
    <cellStyle name="Comma 4 2 2 2 2 2 8 3" xfId="11210" xr:uid="{652693A3-F9D1-4BF1-BDE4-170598C701AA}"/>
    <cellStyle name="Comma 4 2 2 2 2 2 9" xfId="4603" xr:uid="{00000000-0005-0000-0000-0000BC070000}"/>
    <cellStyle name="Comma 4 2 2 2 2 2 9 2" xfId="13045" xr:uid="{18DE460D-201B-4CFE-BC7B-7F4621C59E1C}"/>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E2DBBD11-1B2E-45CE-BFC7-941A99F420D8}"/>
    <cellStyle name="Comma 4 2 2 2 2 3 2 3" xfId="11385" xr:uid="{9076EFEE-4FEA-46B7-A142-026021BA45EE}"/>
    <cellStyle name="Comma 4 2 2 2 2 3 3" xfId="5016" xr:uid="{00000000-0005-0000-0000-0000C0070000}"/>
    <cellStyle name="Comma 4 2 2 2 2 3 3 2" xfId="13458" xr:uid="{6BD3F2D0-0205-4232-82D0-6F68ACBC34A3}"/>
    <cellStyle name="Comma 4 2 2 2 2 3 4" xfId="9240" xr:uid="{527399ED-1298-4125-A68F-B63C1CED9035}"/>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9AA8EB1D-48F6-45AD-A8C7-83B33E06BF82}"/>
    <cellStyle name="Comma 4 2 2 2 2 4 2 3" xfId="11798" xr:uid="{58DE14DB-EF7C-4967-B485-DC3544A898BB}"/>
    <cellStyle name="Comma 4 2 2 2 2 4 3" xfId="5429" xr:uid="{00000000-0005-0000-0000-0000C4070000}"/>
    <cellStyle name="Comma 4 2 2 2 2 4 3 2" xfId="13871" xr:uid="{F72F92AE-0B41-4DCD-B0CB-B66D50F00B6A}"/>
    <cellStyle name="Comma 4 2 2 2 2 4 4" xfId="9653" xr:uid="{60044DCC-491B-4AEC-8759-E095D72D9904}"/>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6D778718-7010-45B5-A4F3-3E7FB910E758}"/>
    <cellStyle name="Comma 4 2 2 2 2 5 2 3" xfId="12211" xr:uid="{F04C6A0D-D37E-4137-A275-20230874A980}"/>
    <cellStyle name="Comma 4 2 2 2 2 5 3" xfId="5842" xr:uid="{00000000-0005-0000-0000-0000C8070000}"/>
    <cellStyle name="Comma 4 2 2 2 2 5 3 2" xfId="14284" xr:uid="{9F9DB145-9C1B-480F-8075-8CD39EA865DC}"/>
    <cellStyle name="Comma 4 2 2 2 2 5 4" xfId="10066" xr:uid="{626441E1-196F-4797-9ACE-E1DA9A1921BE}"/>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F9C2AA1B-B487-43CB-BBEF-A6E7285B82DC}"/>
    <cellStyle name="Comma 4 2 2 2 2 6 2 3" xfId="12624" xr:uid="{C59DF88E-EC54-4B1C-A8BC-418DB5A51D7F}"/>
    <cellStyle name="Comma 4 2 2 2 2 6 3" xfId="6255" xr:uid="{00000000-0005-0000-0000-0000CC070000}"/>
    <cellStyle name="Comma 4 2 2 2 2 6 3 2" xfId="14697" xr:uid="{8C412CA1-B8E9-4003-BE2B-21B674B06202}"/>
    <cellStyle name="Comma 4 2 2 2 2 6 4" xfId="10479" xr:uid="{EC66F53E-47BB-4F41-92B3-407894040BAA}"/>
    <cellStyle name="Comma 4 2 2 2 2 7" xfId="2383" xr:uid="{00000000-0005-0000-0000-0000CD070000}"/>
    <cellStyle name="Comma 4 2 2 2 2 7 2" xfId="6668" xr:uid="{00000000-0005-0000-0000-0000CE070000}"/>
    <cellStyle name="Comma 4 2 2 2 2 7 2 2" xfId="15110" xr:uid="{9A016BE3-1A6A-4889-AC61-A9F63F3397D2}"/>
    <cellStyle name="Comma 4 2 2 2 2 7 3" xfId="10892" xr:uid="{03AD14AF-692B-46E1-8B67-EE0AB6193C0B}"/>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535A15D5-C50A-42B8-BDCF-8DB79AB32B23}"/>
    <cellStyle name="Comma 4 2 2 2 2 9 3" xfId="11209" xr:uid="{335A12C5-30EC-4DBF-B9EB-6995EC4C04BA}"/>
    <cellStyle name="Comma 4 2 2 2 3" xfId="131" xr:uid="{00000000-0005-0000-0000-0000D2070000}"/>
    <cellStyle name="Comma 4 2 2 2 3 10" xfId="8828" xr:uid="{437A2781-25C1-4EDB-9E57-5553064FB990}"/>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6414EFB1-3F95-45F5-A129-19E13DEE18E0}"/>
    <cellStyle name="Comma 4 2 2 2 3 2 2 3" xfId="11387" xr:uid="{063E5643-10CE-40C0-824C-20D943D5DBAF}"/>
    <cellStyle name="Comma 4 2 2 2 3 2 3" xfId="5018" xr:uid="{00000000-0005-0000-0000-0000D6070000}"/>
    <cellStyle name="Comma 4 2 2 2 3 2 3 2" xfId="13460" xr:uid="{C14D15D3-64B1-4763-9E94-E9B1CB82CBB0}"/>
    <cellStyle name="Comma 4 2 2 2 3 2 4" xfId="9242" xr:uid="{10D16A00-0623-4A5C-BB3C-601A4538EDBC}"/>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9A7E4473-1571-444F-996A-4E7E9E3BBDB8}"/>
    <cellStyle name="Comma 4 2 2 2 3 3 2 3" xfId="11800" xr:uid="{CD23A2D0-A318-4268-9EA4-8D2CCDCADE0D}"/>
    <cellStyle name="Comma 4 2 2 2 3 3 3" xfId="5431" xr:uid="{00000000-0005-0000-0000-0000DA070000}"/>
    <cellStyle name="Comma 4 2 2 2 3 3 3 2" xfId="13873" xr:uid="{49153729-A849-4539-BA4C-29431C2A8E05}"/>
    <cellStyle name="Comma 4 2 2 2 3 3 4" xfId="9655" xr:uid="{8C69EBB0-AC3C-4F2D-BAC8-B0789AB5F8C2}"/>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898D5082-A280-4E82-A367-5A511D477FE4}"/>
    <cellStyle name="Comma 4 2 2 2 3 4 2 3" xfId="12213" xr:uid="{8E9FE83D-7C07-4FE9-8220-ABE1CA53B31C}"/>
    <cellStyle name="Comma 4 2 2 2 3 4 3" xfId="5844" xr:uid="{00000000-0005-0000-0000-0000DE070000}"/>
    <cellStyle name="Comma 4 2 2 2 3 4 3 2" xfId="14286" xr:uid="{A5B82BCE-E221-4858-A434-4DBA2987FBD3}"/>
    <cellStyle name="Comma 4 2 2 2 3 4 4" xfId="10068" xr:uid="{30C3D016-FBF6-4CE0-B8D5-ED0F7A13B3B5}"/>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F4FB2B93-8817-4F1E-93D4-900E7031AB4F}"/>
    <cellStyle name="Comma 4 2 2 2 3 5 2 3" xfId="12626" xr:uid="{0F9DAFD2-4F0A-49F6-BA93-4E27FEBC34A6}"/>
    <cellStyle name="Comma 4 2 2 2 3 5 3" xfId="6257" xr:uid="{00000000-0005-0000-0000-0000E2070000}"/>
    <cellStyle name="Comma 4 2 2 2 3 5 3 2" xfId="14699" xr:uid="{D7CF0101-7CD5-4EF8-93E4-6814687FFEC0}"/>
    <cellStyle name="Comma 4 2 2 2 3 5 4" xfId="10481" xr:uid="{1CF81419-0715-41E7-A10E-EE5A3D6EFBE6}"/>
    <cellStyle name="Comma 4 2 2 2 3 6" xfId="2385" xr:uid="{00000000-0005-0000-0000-0000E3070000}"/>
    <cellStyle name="Comma 4 2 2 2 3 6 2" xfId="6670" xr:uid="{00000000-0005-0000-0000-0000E4070000}"/>
    <cellStyle name="Comma 4 2 2 2 3 6 2 2" xfId="15112" xr:uid="{680F4010-09C5-413B-B284-9076D5950F0C}"/>
    <cellStyle name="Comma 4 2 2 2 3 6 3" xfId="10894" xr:uid="{7406A376-6783-449C-A5B5-1947B31B40BC}"/>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E3B88525-975F-416C-8558-1579D715FD7E}"/>
    <cellStyle name="Comma 4 2 2 2 3 8 3" xfId="11211" xr:uid="{5223DEEA-1F75-4992-881D-E292F4868ACD}"/>
    <cellStyle name="Comma 4 2 2 2 3 9" xfId="4604" xr:uid="{00000000-0005-0000-0000-0000E8070000}"/>
    <cellStyle name="Comma 4 2 2 2 3 9 2" xfId="13046" xr:uid="{955444C1-BB2A-487B-978D-AC56A10C5BCC}"/>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9715B68A-0BCC-42D0-B28E-A977E4AE7EA9}"/>
    <cellStyle name="Comma 4 2 2 2 4 2 3" xfId="11384" xr:uid="{4C7F33A2-51E7-46D0-998F-0BE8ADEBFB91}"/>
    <cellStyle name="Comma 4 2 2 2 4 3" xfId="5015" xr:uid="{00000000-0005-0000-0000-0000EC070000}"/>
    <cellStyle name="Comma 4 2 2 2 4 3 2" xfId="13457" xr:uid="{C4826FE2-AA31-4566-83F9-F58C38D50DC7}"/>
    <cellStyle name="Comma 4 2 2 2 4 4" xfId="9239" xr:uid="{99DC8361-D41E-4909-AB71-336BFDD41DB4}"/>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C2CA179D-370D-4CBB-930E-1CB676D4BF4E}"/>
    <cellStyle name="Comma 4 2 2 2 5 2 3" xfId="11797" xr:uid="{FF7AA2A8-785C-45D7-98B2-9E4BFE83E3C8}"/>
    <cellStyle name="Comma 4 2 2 2 5 3" xfId="5428" xr:uid="{00000000-0005-0000-0000-0000F0070000}"/>
    <cellStyle name="Comma 4 2 2 2 5 3 2" xfId="13870" xr:uid="{5AD2939F-1860-4A25-A364-6C5C996D9B38}"/>
    <cellStyle name="Comma 4 2 2 2 5 4" xfId="9652" xr:uid="{0BF3A4EB-D1EF-4D72-9049-FAB34976C8A6}"/>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D91AE9C2-5A29-423B-A284-29E3A4E03244}"/>
    <cellStyle name="Comma 4 2 2 2 6 2 3" xfId="12210" xr:uid="{969844EA-9A10-4986-B69C-6755D505BBAB}"/>
    <cellStyle name="Comma 4 2 2 2 6 3" xfId="5841" xr:uid="{00000000-0005-0000-0000-0000F4070000}"/>
    <cellStyle name="Comma 4 2 2 2 6 3 2" xfId="14283" xr:uid="{E4D438FD-1268-426D-BCFF-8145F5B2168E}"/>
    <cellStyle name="Comma 4 2 2 2 6 4" xfId="10065" xr:uid="{D8CC8F54-89B1-4A14-876C-EC7C097CDEEB}"/>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F77E72B9-9621-41FE-80AC-5784B5B77BBC}"/>
    <cellStyle name="Comma 4 2 2 2 7 2 3" xfId="12623" xr:uid="{CE9E7622-1BF0-4AB0-BFD5-7B279C785191}"/>
    <cellStyle name="Comma 4 2 2 2 7 3" xfId="6254" xr:uid="{00000000-0005-0000-0000-0000F8070000}"/>
    <cellStyle name="Comma 4 2 2 2 7 3 2" xfId="14696" xr:uid="{800EFF25-9B93-4207-8679-39063A12F668}"/>
    <cellStyle name="Comma 4 2 2 2 7 4" xfId="10478" xr:uid="{611A39F0-09ED-475B-BF6F-3C4179764911}"/>
    <cellStyle name="Comma 4 2 2 2 8" xfId="2382" xr:uid="{00000000-0005-0000-0000-0000F9070000}"/>
    <cellStyle name="Comma 4 2 2 2 8 2" xfId="6667" xr:uid="{00000000-0005-0000-0000-0000FA070000}"/>
    <cellStyle name="Comma 4 2 2 2 8 2 2" xfId="15109" xr:uid="{9DFB233F-61E4-4E9D-9835-B0411D3ABB53}"/>
    <cellStyle name="Comma 4 2 2 2 8 3" xfId="10891" xr:uid="{05749C05-7C47-4418-B9D3-59C570E49ECF}"/>
    <cellStyle name="Comma 4 2 2 2 9" xfId="2381" xr:uid="{00000000-0005-0000-0000-0000FB070000}"/>
    <cellStyle name="Comma 4 2 2 3" xfId="132" xr:uid="{00000000-0005-0000-0000-0000FC070000}"/>
    <cellStyle name="Comma 4 2 2 3 10" xfId="4605" xr:uid="{00000000-0005-0000-0000-0000FD070000}"/>
    <cellStyle name="Comma 4 2 2 3 10 2" xfId="13047" xr:uid="{E22581AC-3607-4180-ABE9-4168018D404A}"/>
    <cellStyle name="Comma 4 2 2 3 11" xfId="8829" xr:uid="{50FFAF2A-92BB-4FC3-A170-6F6CC25CED32}"/>
    <cellStyle name="Comma 4 2 2 3 2" xfId="133" xr:uid="{00000000-0005-0000-0000-0000FE070000}"/>
    <cellStyle name="Comma 4 2 2 3 2 10" xfId="8830" xr:uid="{2FEDF9D7-B9AE-44C1-943C-4508ED41854E}"/>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17092F92-0C22-440B-9FE5-C8E025A4E35E}"/>
    <cellStyle name="Comma 4 2 2 3 2 2 2 3" xfId="11389" xr:uid="{F111050B-B897-4E08-BC8F-2B00324B7B82}"/>
    <cellStyle name="Comma 4 2 2 3 2 2 3" xfId="5020" xr:uid="{00000000-0005-0000-0000-000002080000}"/>
    <cellStyle name="Comma 4 2 2 3 2 2 3 2" xfId="13462" xr:uid="{39CD86D9-5F58-46CB-93FF-B6DD06ED6048}"/>
    <cellStyle name="Comma 4 2 2 3 2 2 4" xfId="9244" xr:uid="{20A5ACC1-7624-48F5-8906-923BFDBEC8BF}"/>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E821EC0F-ED41-4DAB-8A7A-D2CBAF47FF59}"/>
    <cellStyle name="Comma 4 2 2 3 2 3 2 3" xfId="11802" xr:uid="{3E137CD4-F838-4A90-9EF3-B48DC0CF85A1}"/>
    <cellStyle name="Comma 4 2 2 3 2 3 3" xfId="5433" xr:uid="{00000000-0005-0000-0000-000006080000}"/>
    <cellStyle name="Comma 4 2 2 3 2 3 3 2" xfId="13875" xr:uid="{FCCCD9DE-7196-4F4C-AA35-7174776E84E1}"/>
    <cellStyle name="Comma 4 2 2 3 2 3 4" xfId="9657" xr:uid="{6604EC00-C440-4065-91CF-551E4057A861}"/>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531BEC84-14E5-4300-BDF9-1BAEA7631326}"/>
    <cellStyle name="Comma 4 2 2 3 2 4 2 3" xfId="12215" xr:uid="{62F852F2-67F8-4699-A67A-C66DB90960B9}"/>
    <cellStyle name="Comma 4 2 2 3 2 4 3" xfId="5846" xr:uid="{00000000-0005-0000-0000-00000A080000}"/>
    <cellStyle name="Comma 4 2 2 3 2 4 3 2" xfId="14288" xr:uid="{F1F0E4C8-6077-4694-9B23-1BC21779B083}"/>
    <cellStyle name="Comma 4 2 2 3 2 4 4" xfId="10070" xr:uid="{3761F187-262D-453F-AEB8-CA258D50DC7A}"/>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9BCE74E4-58EC-46A2-A435-E7A7F1D29632}"/>
    <cellStyle name="Comma 4 2 2 3 2 5 2 3" xfId="12628" xr:uid="{05E553A7-7C5B-4568-8F27-7D835050B60C}"/>
    <cellStyle name="Comma 4 2 2 3 2 5 3" xfId="6259" xr:uid="{00000000-0005-0000-0000-00000E080000}"/>
    <cellStyle name="Comma 4 2 2 3 2 5 3 2" xfId="14701" xr:uid="{1B7C160A-F8C3-44B6-8918-A6DB40348147}"/>
    <cellStyle name="Comma 4 2 2 3 2 5 4" xfId="10483" xr:uid="{A3926D5C-C901-4080-9DD1-A32776ECC1FE}"/>
    <cellStyle name="Comma 4 2 2 3 2 6" xfId="2387" xr:uid="{00000000-0005-0000-0000-00000F080000}"/>
    <cellStyle name="Comma 4 2 2 3 2 6 2" xfId="6672" xr:uid="{00000000-0005-0000-0000-000010080000}"/>
    <cellStyle name="Comma 4 2 2 3 2 6 2 2" xfId="15114" xr:uid="{E7E37F1A-FF87-427D-B04E-33E1C0D3E928}"/>
    <cellStyle name="Comma 4 2 2 3 2 6 3" xfId="10896" xr:uid="{B406D52F-7F8D-47B7-94C9-2ED708878935}"/>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94A90C3E-8720-4F9C-A5E4-B0B8565D9B46}"/>
    <cellStyle name="Comma 4 2 2 3 2 8 3" xfId="11213" xr:uid="{0089104B-5730-44DF-BF35-A6D1ED855B32}"/>
    <cellStyle name="Comma 4 2 2 3 2 9" xfId="4606" xr:uid="{00000000-0005-0000-0000-000014080000}"/>
    <cellStyle name="Comma 4 2 2 3 2 9 2" xfId="13048" xr:uid="{6AC50EB7-D09E-4759-B60D-79703F924E92}"/>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BF7CCDE7-3B60-4BD4-93EE-328567AA88A1}"/>
    <cellStyle name="Comma 4 2 2 3 3 2 3" xfId="11388" xr:uid="{8A0470F6-6056-4E5B-A148-7D4D820D07C9}"/>
    <cellStyle name="Comma 4 2 2 3 3 3" xfId="5019" xr:uid="{00000000-0005-0000-0000-000018080000}"/>
    <cellStyle name="Comma 4 2 2 3 3 3 2" xfId="13461" xr:uid="{9396A04A-8588-417B-B37D-8B0B3FF2048B}"/>
    <cellStyle name="Comma 4 2 2 3 3 4" xfId="9243" xr:uid="{34462650-8859-4344-9E81-CE20224558ED}"/>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D7A61EE6-F983-4846-9703-2A423A21E7FA}"/>
    <cellStyle name="Comma 4 2 2 3 4 2 3" xfId="11801" xr:uid="{8CE71419-6411-44CB-90C8-99B2441B9518}"/>
    <cellStyle name="Comma 4 2 2 3 4 3" xfId="5432" xr:uid="{00000000-0005-0000-0000-00001C080000}"/>
    <cellStyle name="Comma 4 2 2 3 4 3 2" xfId="13874" xr:uid="{B673CC63-6827-4B0B-8297-8F3D2756663E}"/>
    <cellStyle name="Comma 4 2 2 3 4 4" xfId="9656" xr:uid="{807EEA9A-05B9-419E-AEC6-BAC602D626B6}"/>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23072782-6E98-4A51-A956-4877E493D677}"/>
    <cellStyle name="Comma 4 2 2 3 5 2 3" xfId="12214" xr:uid="{815150CB-6A38-4760-9311-E0108233C471}"/>
    <cellStyle name="Comma 4 2 2 3 5 3" xfId="5845" xr:uid="{00000000-0005-0000-0000-000020080000}"/>
    <cellStyle name="Comma 4 2 2 3 5 3 2" xfId="14287" xr:uid="{7ABDCF31-0E86-48B3-A513-4BBA33AA8688}"/>
    <cellStyle name="Comma 4 2 2 3 5 4" xfId="10069" xr:uid="{7404765F-14A3-4DD0-86FC-3B760D373833}"/>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E71292EA-1E4B-4460-8C95-9B97922F7631}"/>
    <cellStyle name="Comma 4 2 2 3 6 2 3" xfId="12627" xr:uid="{93A9385E-9102-4E59-AA45-4D7E9C788B7C}"/>
    <cellStyle name="Comma 4 2 2 3 6 3" xfId="6258" xr:uid="{00000000-0005-0000-0000-000024080000}"/>
    <cellStyle name="Comma 4 2 2 3 6 3 2" xfId="14700" xr:uid="{E9181BF5-F6FB-4FEC-8236-7D2B85F3FD00}"/>
    <cellStyle name="Comma 4 2 2 3 6 4" xfId="10482" xr:uid="{72CC0B3D-D822-45FB-AB79-3F01531F1687}"/>
    <cellStyle name="Comma 4 2 2 3 7" xfId="2386" xr:uid="{00000000-0005-0000-0000-000025080000}"/>
    <cellStyle name="Comma 4 2 2 3 7 2" xfId="6671" xr:uid="{00000000-0005-0000-0000-000026080000}"/>
    <cellStyle name="Comma 4 2 2 3 7 2 2" xfId="15113" xr:uid="{40AF9D35-A745-402E-AF51-0C16F41738F0}"/>
    <cellStyle name="Comma 4 2 2 3 7 3" xfId="10895" xr:uid="{C45C9F68-4958-4939-8BF6-ABC2E9BB1069}"/>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5FABEF69-0CEB-4EC6-997D-61DCF576B14F}"/>
    <cellStyle name="Comma 4 2 2 3 9 3" xfId="11212" xr:uid="{893EB0C4-0A32-4503-B610-CC0B01557583}"/>
    <cellStyle name="Comma 4 2 2 4" xfId="134" xr:uid="{00000000-0005-0000-0000-00002A080000}"/>
    <cellStyle name="Comma 4 2 2 4 10" xfId="8831" xr:uid="{FD974419-D45C-420A-ADC1-3457FDC37EA7}"/>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987DA9A6-F26B-4003-96E7-4C355F838D72}"/>
    <cellStyle name="Comma 4 2 2 4 2 2 3" xfId="11390" xr:uid="{ADA0B732-A386-4256-8F20-A0F17D9E0986}"/>
    <cellStyle name="Comma 4 2 2 4 2 3" xfId="5021" xr:uid="{00000000-0005-0000-0000-00002E080000}"/>
    <cellStyle name="Comma 4 2 2 4 2 3 2" xfId="13463" xr:uid="{B96B9EAE-BAAC-4733-9DC6-CE8C6EEFF475}"/>
    <cellStyle name="Comma 4 2 2 4 2 4" xfId="9245" xr:uid="{B05D2FC1-1BA8-4372-81E1-4280C4A934D8}"/>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6EC8DC06-3923-4271-B936-BD67C87AEC61}"/>
    <cellStyle name="Comma 4 2 2 4 3 2 3" xfId="11803" xr:uid="{40E9064D-5C12-4A91-A949-32686D404197}"/>
    <cellStyle name="Comma 4 2 2 4 3 3" xfId="5434" xr:uid="{00000000-0005-0000-0000-000032080000}"/>
    <cellStyle name="Comma 4 2 2 4 3 3 2" xfId="13876" xr:uid="{3CE9F085-E91F-4032-A687-91BC26E5E61A}"/>
    <cellStyle name="Comma 4 2 2 4 3 4" xfId="9658" xr:uid="{C6382AC1-29FE-40DE-A46A-1CABAC5827B7}"/>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6A4A64B6-4203-4480-B18C-FBF1DC15CA3F}"/>
    <cellStyle name="Comma 4 2 2 4 4 2 3" xfId="12216" xr:uid="{488AC036-E833-42C7-BD36-BB3E16B546F8}"/>
    <cellStyle name="Comma 4 2 2 4 4 3" xfId="5847" xr:uid="{00000000-0005-0000-0000-000036080000}"/>
    <cellStyle name="Comma 4 2 2 4 4 3 2" xfId="14289" xr:uid="{2BB47117-08ED-4745-9B74-1BE3C9D634FC}"/>
    <cellStyle name="Comma 4 2 2 4 4 4" xfId="10071" xr:uid="{5CB87898-26B4-44C6-9CE8-31DD2D991377}"/>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A216A7F1-3A11-444D-8AD3-851BBA9B1A1A}"/>
    <cellStyle name="Comma 4 2 2 4 5 2 3" xfId="12629" xr:uid="{6DC3093D-2DB2-4188-A298-9079DA4EDBAA}"/>
    <cellStyle name="Comma 4 2 2 4 5 3" xfId="6260" xr:uid="{00000000-0005-0000-0000-00003A080000}"/>
    <cellStyle name="Comma 4 2 2 4 5 3 2" xfId="14702" xr:uid="{7D1BE70C-7B77-4782-AEED-D58C009CA3DB}"/>
    <cellStyle name="Comma 4 2 2 4 5 4" xfId="10484" xr:uid="{A4417719-8AF7-44EF-9326-1B192BDDD5A0}"/>
    <cellStyle name="Comma 4 2 2 4 6" xfId="2388" xr:uid="{00000000-0005-0000-0000-00003B080000}"/>
    <cellStyle name="Comma 4 2 2 4 6 2" xfId="6673" xr:uid="{00000000-0005-0000-0000-00003C080000}"/>
    <cellStyle name="Comma 4 2 2 4 6 2 2" xfId="15115" xr:uid="{B1AB2E50-64B8-492B-8524-23CA6EF00659}"/>
    <cellStyle name="Comma 4 2 2 4 6 3" xfId="10897" xr:uid="{494C40E4-6091-4D78-A937-795C44C35ED4}"/>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C8E07C24-0852-44DE-8A06-6FB47CA43520}"/>
    <cellStyle name="Comma 4 2 2 4 8 3" xfId="11214" xr:uid="{BAE7CEE5-8341-4E94-9553-85AB52C87823}"/>
    <cellStyle name="Comma 4 2 2 4 9" xfId="4607" xr:uid="{00000000-0005-0000-0000-000040080000}"/>
    <cellStyle name="Comma 4 2 2 4 9 2" xfId="13049" xr:uid="{0E9FC1EA-22A0-4414-81C3-50810FA92B44}"/>
    <cellStyle name="Comma 4 2 2 5" xfId="135" xr:uid="{00000000-0005-0000-0000-000041080000}"/>
    <cellStyle name="Comma 4 2 2 5 10" xfId="8832" xr:uid="{9ECC98D1-6A03-4F08-AFC2-4E723BA25D3A}"/>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4142D1F1-7707-471D-B5E0-84781A412D14}"/>
    <cellStyle name="Comma 4 2 2 5 2 2 3" xfId="11391" xr:uid="{FD3A3C20-5DE7-427B-8DF1-63451CE62396}"/>
    <cellStyle name="Comma 4 2 2 5 2 3" xfId="5022" xr:uid="{00000000-0005-0000-0000-000045080000}"/>
    <cellStyle name="Comma 4 2 2 5 2 3 2" xfId="13464" xr:uid="{FF49F443-DD31-4048-961D-F93750694F91}"/>
    <cellStyle name="Comma 4 2 2 5 2 4" xfId="9246" xr:uid="{D3D82200-FE60-453A-81F7-2CA0AC996819}"/>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E2B7D0FC-0398-4397-8EB5-33E086393F4E}"/>
    <cellStyle name="Comma 4 2 2 5 3 2 3" xfId="11804" xr:uid="{250C7DE2-768E-4DE5-AEBB-697B2AFCF966}"/>
    <cellStyle name="Comma 4 2 2 5 3 3" xfId="5435" xr:uid="{00000000-0005-0000-0000-000049080000}"/>
    <cellStyle name="Comma 4 2 2 5 3 3 2" xfId="13877" xr:uid="{E868DC21-8AFC-47BD-B54E-7BBF7FCFEB94}"/>
    <cellStyle name="Comma 4 2 2 5 3 4" xfId="9659" xr:uid="{FFAC5337-090D-41FC-962B-5CC5D4FC4D1B}"/>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0B5378CB-D074-4D5C-BA64-4CAABE06FA9E}"/>
    <cellStyle name="Comma 4 2 2 5 4 2 3" xfId="12217" xr:uid="{8F9A653F-7408-4986-A559-77178C17617B}"/>
    <cellStyle name="Comma 4 2 2 5 4 3" xfId="5848" xr:uid="{00000000-0005-0000-0000-00004D080000}"/>
    <cellStyle name="Comma 4 2 2 5 4 3 2" xfId="14290" xr:uid="{FCB7A234-C602-40BD-8607-0793B0D663AF}"/>
    <cellStyle name="Comma 4 2 2 5 4 4" xfId="10072" xr:uid="{EFFA313C-F8EE-46EE-A60D-F14E65E66DDA}"/>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B177CFAD-C4FB-48B1-8E9B-E4D90DF3B25F}"/>
    <cellStyle name="Comma 4 2 2 5 5 2 3" xfId="12630" xr:uid="{5B5D75BE-501C-4275-BA43-ADD535CF29E6}"/>
    <cellStyle name="Comma 4 2 2 5 5 3" xfId="6261" xr:uid="{00000000-0005-0000-0000-000051080000}"/>
    <cellStyle name="Comma 4 2 2 5 5 3 2" xfId="14703" xr:uid="{1005E245-6F8B-4F6B-9BF7-9A911F763E8B}"/>
    <cellStyle name="Comma 4 2 2 5 5 4" xfId="10485" xr:uid="{2423168F-A8C4-4B61-B3E7-C6BC61668F44}"/>
    <cellStyle name="Comma 4 2 2 5 6" xfId="2389" xr:uid="{00000000-0005-0000-0000-000052080000}"/>
    <cellStyle name="Comma 4 2 2 5 6 2" xfId="6674" xr:uid="{00000000-0005-0000-0000-000053080000}"/>
    <cellStyle name="Comma 4 2 2 5 6 2 2" xfId="15116" xr:uid="{4D6E06CB-1B0F-429F-9C66-5CC6C0F63A5C}"/>
    <cellStyle name="Comma 4 2 2 5 6 3" xfId="10898" xr:uid="{16998597-588A-4BB5-A380-34BCF57F4DFD}"/>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7397DD50-88E8-4C5C-A6EC-B332985120FF}"/>
    <cellStyle name="Comma 4 2 2 5 8 3" xfId="11215" xr:uid="{4EE3A56B-CF7A-4411-81F0-AE96306F745E}"/>
    <cellStyle name="Comma 4 2 2 5 9" xfId="4608" xr:uid="{00000000-0005-0000-0000-000057080000}"/>
    <cellStyle name="Comma 4 2 2 5 9 2" xfId="13050" xr:uid="{F66C9ED1-74CE-4BAC-A2B8-45017B22104B}"/>
    <cellStyle name="Comma 4 2 3" xfId="136" xr:uid="{00000000-0005-0000-0000-000058080000}"/>
    <cellStyle name="Comma 4 2 3 10" xfId="2768" xr:uid="{00000000-0005-0000-0000-000059080000}"/>
    <cellStyle name="Comma 4 2 3 10 2" xfId="6992" xr:uid="{00000000-0005-0000-0000-00005A080000}"/>
    <cellStyle name="Comma 4 2 3 10 2 2" xfId="15434" xr:uid="{FE5CAEED-38AF-4D0A-B7E1-074121340ADD}"/>
    <cellStyle name="Comma 4 2 3 10 3" xfId="11216" xr:uid="{6BB31505-64C3-49CF-A324-55B0CEE93BAB}"/>
    <cellStyle name="Comma 4 2 3 11" xfId="4609" xr:uid="{00000000-0005-0000-0000-00005B080000}"/>
    <cellStyle name="Comma 4 2 3 11 2" xfId="13051" xr:uid="{A386FC43-7F45-4575-8F27-FBB7EC401796}"/>
    <cellStyle name="Comma 4 2 3 12" xfId="8833" xr:uid="{634BA88A-4368-47DB-BEF7-41B74936E2B9}"/>
    <cellStyle name="Comma 4 2 3 2" xfId="137" xr:uid="{00000000-0005-0000-0000-00005C080000}"/>
    <cellStyle name="Comma 4 2 3 2 10" xfId="4610" xr:uid="{00000000-0005-0000-0000-00005D080000}"/>
    <cellStyle name="Comma 4 2 3 2 10 2" xfId="13052" xr:uid="{974318D1-3A9D-4635-9669-509884D1B999}"/>
    <cellStyle name="Comma 4 2 3 2 11" xfId="8834" xr:uid="{19431C1B-243A-4F47-8A02-3EFDAFC40151}"/>
    <cellStyle name="Comma 4 2 3 2 2" xfId="138" xr:uid="{00000000-0005-0000-0000-00005E080000}"/>
    <cellStyle name="Comma 4 2 3 2 2 10" xfId="8835" xr:uid="{B18E88B7-537C-4735-88AB-30C2E794E47A}"/>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CF5694E6-FE15-422A-A34D-5D476ADCBE92}"/>
    <cellStyle name="Comma 4 2 3 2 2 2 2 3" xfId="11394" xr:uid="{374D2154-B3A6-498E-8CDD-F8CADC4889D4}"/>
    <cellStyle name="Comma 4 2 3 2 2 2 3" xfId="5025" xr:uid="{00000000-0005-0000-0000-000062080000}"/>
    <cellStyle name="Comma 4 2 3 2 2 2 3 2" xfId="13467" xr:uid="{072E6482-87AF-4D05-A826-224654C1B508}"/>
    <cellStyle name="Comma 4 2 3 2 2 2 4" xfId="9249" xr:uid="{F8D93312-4E60-49DD-BE9B-01E64B4E07AA}"/>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6FB8074C-AC64-491F-8732-3397CE2BDD1B}"/>
    <cellStyle name="Comma 4 2 3 2 2 3 2 3" xfId="11807" xr:uid="{A752659C-E7C4-4A8B-A926-0F01CF5C4B94}"/>
    <cellStyle name="Comma 4 2 3 2 2 3 3" xfId="5438" xr:uid="{00000000-0005-0000-0000-000066080000}"/>
    <cellStyle name="Comma 4 2 3 2 2 3 3 2" xfId="13880" xr:uid="{4B3400F5-7357-43FD-8D4A-75136CA0BD78}"/>
    <cellStyle name="Comma 4 2 3 2 2 3 4" xfId="9662" xr:uid="{C98381D4-386E-41F4-97F1-E5C40D1FAA50}"/>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1E38E6F6-B62F-4356-8C28-D43442778522}"/>
    <cellStyle name="Comma 4 2 3 2 2 4 2 3" xfId="12220" xr:uid="{66649F8A-7C9A-405F-83D7-6C6FFCEF1A94}"/>
    <cellStyle name="Comma 4 2 3 2 2 4 3" xfId="5851" xr:uid="{00000000-0005-0000-0000-00006A080000}"/>
    <cellStyle name="Comma 4 2 3 2 2 4 3 2" xfId="14293" xr:uid="{67824CD8-ED9D-4A65-9020-C0D938B1B331}"/>
    <cellStyle name="Comma 4 2 3 2 2 4 4" xfId="10075" xr:uid="{15571E87-8B4E-4575-BEE1-A22F7A3C79DE}"/>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97BB27D2-51AF-4DFC-930C-720FAD6B9CCF}"/>
    <cellStyle name="Comma 4 2 3 2 2 5 2 3" xfId="12633" xr:uid="{EBE50906-896B-48DA-A881-D4CE7B0F3B37}"/>
    <cellStyle name="Comma 4 2 3 2 2 5 3" xfId="6264" xr:uid="{00000000-0005-0000-0000-00006E080000}"/>
    <cellStyle name="Comma 4 2 3 2 2 5 3 2" xfId="14706" xr:uid="{AA54AC5B-8E5D-4C20-AD22-CC2CD00C701A}"/>
    <cellStyle name="Comma 4 2 3 2 2 5 4" xfId="10488" xr:uid="{5B6165F9-45FF-4C11-8DA9-9E86CB0CDD4E}"/>
    <cellStyle name="Comma 4 2 3 2 2 6" xfId="2392" xr:uid="{00000000-0005-0000-0000-00006F080000}"/>
    <cellStyle name="Comma 4 2 3 2 2 6 2" xfId="6677" xr:uid="{00000000-0005-0000-0000-000070080000}"/>
    <cellStyle name="Comma 4 2 3 2 2 6 2 2" xfId="15119" xr:uid="{A7BF8029-4B2D-4FA9-A3D4-C78A4010B4B8}"/>
    <cellStyle name="Comma 4 2 3 2 2 6 3" xfId="10901" xr:uid="{16B30B18-83CF-49C0-B17F-2658842157D2}"/>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D7175009-B05A-46BE-B6FC-964F39308206}"/>
    <cellStyle name="Comma 4 2 3 2 2 8 3" xfId="11218" xr:uid="{177F9980-545D-43EF-B4B3-9C2727EBE0D6}"/>
    <cellStyle name="Comma 4 2 3 2 2 9" xfId="4611" xr:uid="{00000000-0005-0000-0000-000074080000}"/>
    <cellStyle name="Comma 4 2 3 2 2 9 2" xfId="13053" xr:uid="{372E0A48-0C24-487D-9872-264A18776B60}"/>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4C1763F0-42FA-4D63-A1EB-AA456210320B}"/>
    <cellStyle name="Comma 4 2 3 2 3 2 3" xfId="11393" xr:uid="{4ACE273C-03E4-418D-AC19-AB910CEAC5B5}"/>
    <cellStyle name="Comma 4 2 3 2 3 3" xfId="5024" xr:uid="{00000000-0005-0000-0000-000078080000}"/>
    <cellStyle name="Comma 4 2 3 2 3 3 2" xfId="13466" xr:uid="{40476492-74C5-450D-9CEF-C92D90C33127}"/>
    <cellStyle name="Comma 4 2 3 2 3 4" xfId="9248" xr:uid="{6FCAAA28-9E44-4FF8-B008-A2092F2FA3F9}"/>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B0DA1ACE-7865-4BB0-96C2-AA1A71F71F1C}"/>
    <cellStyle name="Comma 4 2 3 2 4 2 3" xfId="11806" xr:uid="{FB7DC1B0-48AA-4539-88F7-1ED46009D8D4}"/>
    <cellStyle name="Comma 4 2 3 2 4 3" xfId="5437" xr:uid="{00000000-0005-0000-0000-00007C080000}"/>
    <cellStyle name="Comma 4 2 3 2 4 3 2" xfId="13879" xr:uid="{B99492EA-B7B4-458A-B6C0-F20351C085AB}"/>
    <cellStyle name="Comma 4 2 3 2 4 4" xfId="9661" xr:uid="{F261B7F8-1CC2-4505-B12F-6D98871B6FD7}"/>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89E3C1C4-647E-4436-A624-DFFE225D0A68}"/>
    <cellStyle name="Comma 4 2 3 2 5 2 3" xfId="12219" xr:uid="{B7F34C18-F008-4DAD-8AC0-C14E43DB93FC}"/>
    <cellStyle name="Comma 4 2 3 2 5 3" xfId="5850" xr:uid="{00000000-0005-0000-0000-000080080000}"/>
    <cellStyle name="Comma 4 2 3 2 5 3 2" xfId="14292" xr:uid="{A38DF1DF-2CA5-450E-A8EA-691EA84C4F14}"/>
    <cellStyle name="Comma 4 2 3 2 5 4" xfId="10074" xr:uid="{50104AD6-A54C-46BE-9263-BA52972185B2}"/>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823A6A85-64F1-4775-B66C-364BA482211C}"/>
    <cellStyle name="Comma 4 2 3 2 6 2 3" xfId="12632" xr:uid="{116EF84D-2DE5-4B24-B646-8E02749B81A0}"/>
    <cellStyle name="Comma 4 2 3 2 6 3" xfId="6263" xr:uid="{00000000-0005-0000-0000-000084080000}"/>
    <cellStyle name="Comma 4 2 3 2 6 3 2" xfId="14705" xr:uid="{FF888DE3-FAC6-46FC-B199-3D38FDBEAAFE}"/>
    <cellStyle name="Comma 4 2 3 2 6 4" xfId="10487" xr:uid="{BCF8FA2C-57CB-469B-8CF2-5AABB5F58432}"/>
    <cellStyle name="Comma 4 2 3 2 7" xfId="2391" xr:uid="{00000000-0005-0000-0000-000085080000}"/>
    <cellStyle name="Comma 4 2 3 2 7 2" xfId="6676" xr:uid="{00000000-0005-0000-0000-000086080000}"/>
    <cellStyle name="Comma 4 2 3 2 7 2 2" xfId="15118" xr:uid="{D077C62A-83C1-4D21-83F6-C0337A84F748}"/>
    <cellStyle name="Comma 4 2 3 2 7 3" xfId="10900" xr:uid="{880055F1-EEFA-48E1-A1B4-83CA5C68267D}"/>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C83BEF7A-8FE5-4155-AA39-1A26E1AE0FDE}"/>
    <cellStyle name="Comma 4 2 3 2 9 3" xfId="11217" xr:uid="{D8050B94-5DCB-4003-BCEA-260A1A525946}"/>
    <cellStyle name="Comma 4 2 3 3" xfId="139" xr:uid="{00000000-0005-0000-0000-00008A080000}"/>
    <cellStyle name="Comma 4 2 3 3 10" xfId="8836" xr:uid="{7C7650C1-24AD-47F0-8F25-D4641E85784B}"/>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BBF9E3EC-2C97-402C-B968-AD8C885853A6}"/>
    <cellStyle name="Comma 4 2 3 3 2 2 3" xfId="11395" xr:uid="{CEF09DF5-1641-4B3E-8217-C42729E4AEC6}"/>
    <cellStyle name="Comma 4 2 3 3 2 3" xfId="5026" xr:uid="{00000000-0005-0000-0000-00008E080000}"/>
    <cellStyle name="Comma 4 2 3 3 2 3 2" xfId="13468" xr:uid="{D00B8A4A-EFF2-454E-AB47-B4E693186C2F}"/>
    <cellStyle name="Comma 4 2 3 3 2 4" xfId="9250" xr:uid="{21299318-EBBA-4D88-94B1-5B980C924496}"/>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90E7EACA-CF6B-4FC0-B413-7B645B41A172}"/>
    <cellStyle name="Comma 4 2 3 3 3 2 3" xfId="11808" xr:uid="{C262783E-4F5C-4C27-8553-06A668E2176F}"/>
    <cellStyle name="Comma 4 2 3 3 3 3" xfId="5439" xr:uid="{00000000-0005-0000-0000-000092080000}"/>
    <cellStyle name="Comma 4 2 3 3 3 3 2" xfId="13881" xr:uid="{5A941655-A0A4-4742-88F2-FB9C14F7783D}"/>
    <cellStyle name="Comma 4 2 3 3 3 4" xfId="9663" xr:uid="{C36AD0F1-A638-483A-949E-4D1FAE0D3032}"/>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BBFAA46E-39DD-4E79-8160-60E28DFC79FC}"/>
    <cellStyle name="Comma 4 2 3 3 4 2 3" xfId="12221" xr:uid="{BBB9A9DC-5C49-494A-A4B5-EFAFE4862168}"/>
    <cellStyle name="Comma 4 2 3 3 4 3" xfId="5852" xr:uid="{00000000-0005-0000-0000-000096080000}"/>
    <cellStyle name="Comma 4 2 3 3 4 3 2" xfId="14294" xr:uid="{2BF544AC-C179-4BF0-BB98-991D9EAA92C8}"/>
    <cellStyle name="Comma 4 2 3 3 4 4" xfId="10076" xr:uid="{571A21D4-D191-4EFB-9503-32F94A3E482B}"/>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C367CB19-0136-4C9F-AE53-A0088EE67D12}"/>
    <cellStyle name="Comma 4 2 3 3 5 2 3" xfId="12634" xr:uid="{C1EAE486-B313-4334-89B2-131196F3E8D3}"/>
    <cellStyle name="Comma 4 2 3 3 5 3" xfId="6265" xr:uid="{00000000-0005-0000-0000-00009A080000}"/>
    <cellStyle name="Comma 4 2 3 3 5 3 2" xfId="14707" xr:uid="{06B3EBFF-C697-43FB-95D0-1339ED6963D5}"/>
    <cellStyle name="Comma 4 2 3 3 5 4" xfId="10489" xr:uid="{B10EDFE0-B709-4030-A33B-B4E665739443}"/>
    <cellStyle name="Comma 4 2 3 3 6" xfId="2393" xr:uid="{00000000-0005-0000-0000-00009B080000}"/>
    <cellStyle name="Comma 4 2 3 3 6 2" xfId="6678" xr:uid="{00000000-0005-0000-0000-00009C080000}"/>
    <cellStyle name="Comma 4 2 3 3 6 2 2" xfId="15120" xr:uid="{6A21D3B3-5C1A-4BC1-9F74-CB3C7FC9DEE4}"/>
    <cellStyle name="Comma 4 2 3 3 6 3" xfId="10902" xr:uid="{9EEB88C1-A728-43A4-9FA5-6F2B02641FE9}"/>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6A9EC2B5-E413-46E6-B96A-31CF1ABB0EE2}"/>
    <cellStyle name="Comma 4 2 3 3 8 3" xfId="11219" xr:uid="{1CAA092B-FC80-4E52-A270-E0C7AD7AB11E}"/>
    <cellStyle name="Comma 4 2 3 3 9" xfId="4612" xr:uid="{00000000-0005-0000-0000-0000A0080000}"/>
    <cellStyle name="Comma 4 2 3 3 9 2" xfId="13054" xr:uid="{F9149FDE-2F24-4E61-93D6-021A49628B12}"/>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462D0FD4-A16A-4891-B5F8-F1227612E914}"/>
    <cellStyle name="Comma 4 2 3 4 2 3" xfId="11392" xr:uid="{386309EB-56A1-4712-A480-FB1E192F78B1}"/>
    <cellStyle name="Comma 4 2 3 4 3" xfId="5023" xr:uid="{00000000-0005-0000-0000-0000A4080000}"/>
    <cellStyle name="Comma 4 2 3 4 3 2" xfId="13465" xr:uid="{F50ECF59-945E-4A77-B7EB-792E16EA10D0}"/>
    <cellStyle name="Comma 4 2 3 4 4" xfId="9247" xr:uid="{7903FAD5-5040-4E91-BFEA-81A314ACE085}"/>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5ED19B6A-21A2-4201-B0EC-D2CCE3C08EAA}"/>
    <cellStyle name="Comma 4 2 3 5 2 3" xfId="11805" xr:uid="{82CB354C-3B28-4191-88AA-75C760ECE1A4}"/>
    <cellStyle name="Comma 4 2 3 5 3" xfId="5436" xr:uid="{00000000-0005-0000-0000-0000A8080000}"/>
    <cellStyle name="Comma 4 2 3 5 3 2" xfId="13878" xr:uid="{520A2567-3873-48E3-856D-EDC6044CBE8E}"/>
    <cellStyle name="Comma 4 2 3 5 4" xfId="9660" xr:uid="{3C4E0C83-4DE1-4E97-B6F1-602B4165CE17}"/>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39F715AD-01F2-410F-A7F9-BA74BE796E46}"/>
    <cellStyle name="Comma 4 2 3 6 2 3" xfId="12218" xr:uid="{386F01E8-BDE3-4206-B15D-49898E090801}"/>
    <cellStyle name="Comma 4 2 3 6 3" xfId="5849" xr:uid="{00000000-0005-0000-0000-0000AC080000}"/>
    <cellStyle name="Comma 4 2 3 6 3 2" xfId="14291" xr:uid="{F8FAEE5F-EAE7-4A3D-A197-13D6BE5A0C03}"/>
    <cellStyle name="Comma 4 2 3 6 4" xfId="10073" xr:uid="{39AA976F-D403-4C59-9C5C-FC7362247F3E}"/>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4FD3B5BA-3B13-4B4F-9AF1-F005B9838267}"/>
    <cellStyle name="Comma 4 2 3 7 2 3" xfId="12631" xr:uid="{5F88594A-FCC8-4148-AB7C-3E437298E960}"/>
    <cellStyle name="Comma 4 2 3 7 3" xfId="6262" xr:uid="{00000000-0005-0000-0000-0000B0080000}"/>
    <cellStyle name="Comma 4 2 3 7 3 2" xfId="14704" xr:uid="{EBF2C48E-E3D5-42FA-89C1-A769D4A3BD23}"/>
    <cellStyle name="Comma 4 2 3 7 4" xfId="10486" xr:uid="{6C455FBF-667E-480E-B267-AE86BE7155DB}"/>
    <cellStyle name="Comma 4 2 3 8" xfId="2390" xr:uid="{00000000-0005-0000-0000-0000B1080000}"/>
    <cellStyle name="Comma 4 2 3 8 2" xfId="6675" xr:uid="{00000000-0005-0000-0000-0000B2080000}"/>
    <cellStyle name="Comma 4 2 3 8 2 2" xfId="15117" xr:uid="{0D372CF1-F571-495B-B47A-9EA605DE3B8C}"/>
    <cellStyle name="Comma 4 2 3 8 3" xfId="10899" xr:uid="{E419A6B3-A7D8-4AED-9863-1080983CEFDE}"/>
    <cellStyle name="Comma 4 2 3 9" xfId="2373" xr:uid="{00000000-0005-0000-0000-0000B3080000}"/>
    <cellStyle name="Comma 4 2 4" xfId="140" xr:uid="{00000000-0005-0000-0000-0000B4080000}"/>
    <cellStyle name="Comma 4 2 4 10" xfId="4613" xr:uid="{00000000-0005-0000-0000-0000B5080000}"/>
    <cellStyle name="Comma 4 2 4 10 2" xfId="13055" xr:uid="{A4AAF8CE-2A46-4ED0-B51C-D6A12B90CE6C}"/>
    <cellStyle name="Comma 4 2 4 11" xfId="8837" xr:uid="{51494688-1DE9-4420-96D8-83E20A321199}"/>
    <cellStyle name="Comma 4 2 4 2" xfId="141" xr:uid="{00000000-0005-0000-0000-0000B6080000}"/>
    <cellStyle name="Comma 4 2 4 2 10" xfId="8838" xr:uid="{24D07EB2-F34B-4C81-9D8B-0442BB1B5105}"/>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967B3055-4DCF-4509-A15F-5FE88298E9D4}"/>
    <cellStyle name="Comma 4 2 4 2 2 2 3" xfId="11397" xr:uid="{CCEC761D-AD3C-4AD5-9281-E399F97481BB}"/>
    <cellStyle name="Comma 4 2 4 2 2 3" xfId="5028" xr:uid="{00000000-0005-0000-0000-0000BA080000}"/>
    <cellStyle name="Comma 4 2 4 2 2 3 2" xfId="13470" xr:uid="{CADFEDE0-9142-40E4-9650-B0BEF600CA2B}"/>
    <cellStyle name="Comma 4 2 4 2 2 4" xfId="9252" xr:uid="{E3A47D5C-D52A-478B-AC21-71F47AB83E5D}"/>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E150DC10-EA90-4280-8F64-386A82FFA97E}"/>
    <cellStyle name="Comma 4 2 4 2 3 2 3" xfId="11810" xr:uid="{7CA827F5-E448-4BF7-ABE3-F21C53E1D9B9}"/>
    <cellStyle name="Comma 4 2 4 2 3 3" xfId="5441" xr:uid="{00000000-0005-0000-0000-0000BE080000}"/>
    <cellStyle name="Comma 4 2 4 2 3 3 2" xfId="13883" xr:uid="{B2C4F1AA-EF6D-4A5A-85A8-477B24E7243C}"/>
    <cellStyle name="Comma 4 2 4 2 3 4" xfId="9665" xr:uid="{8655F6ED-1DB5-42A3-AD92-264261F8F04C}"/>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23EB8EBE-36F9-4184-BDE0-56E89C8F11E6}"/>
    <cellStyle name="Comma 4 2 4 2 4 2 3" xfId="12223" xr:uid="{79894A81-1AC8-46CE-AEF1-E78135BE50B0}"/>
    <cellStyle name="Comma 4 2 4 2 4 3" xfId="5854" xr:uid="{00000000-0005-0000-0000-0000C2080000}"/>
    <cellStyle name="Comma 4 2 4 2 4 3 2" xfId="14296" xr:uid="{5C3C9DE9-2157-48AB-A613-12A2F6731B97}"/>
    <cellStyle name="Comma 4 2 4 2 4 4" xfId="10078" xr:uid="{74430B0F-9D93-4CF5-8701-2D45F74A7F22}"/>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D9702429-B416-4715-97C4-19F300926101}"/>
    <cellStyle name="Comma 4 2 4 2 5 2 3" xfId="12636" xr:uid="{1FA4441A-05F0-4DC6-A44D-52F2D1D23861}"/>
    <cellStyle name="Comma 4 2 4 2 5 3" xfId="6267" xr:uid="{00000000-0005-0000-0000-0000C6080000}"/>
    <cellStyle name="Comma 4 2 4 2 5 3 2" xfId="14709" xr:uid="{A98A4F21-D951-4B50-BD6A-70D3E71FE06C}"/>
    <cellStyle name="Comma 4 2 4 2 5 4" xfId="10491" xr:uid="{8D14FA81-5170-4C18-9CAE-64E8B0937E01}"/>
    <cellStyle name="Comma 4 2 4 2 6" xfId="2395" xr:uid="{00000000-0005-0000-0000-0000C7080000}"/>
    <cellStyle name="Comma 4 2 4 2 6 2" xfId="6680" xr:uid="{00000000-0005-0000-0000-0000C8080000}"/>
    <cellStyle name="Comma 4 2 4 2 6 2 2" xfId="15122" xr:uid="{3B062709-0322-4F90-841E-7C1953E90888}"/>
    <cellStyle name="Comma 4 2 4 2 6 3" xfId="10904" xr:uid="{7A36C2CC-1416-4AA8-BC53-9CA6855F45C9}"/>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0EBE374E-BD21-4412-A7C9-B556F20DE2CA}"/>
    <cellStyle name="Comma 4 2 4 2 8 3" xfId="11221" xr:uid="{520A5B9D-6341-4280-827F-BB4E95FC7EEA}"/>
    <cellStyle name="Comma 4 2 4 2 9" xfId="4614" xr:uid="{00000000-0005-0000-0000-0000CC080000}"/>
    <cellStyle name="Comma 4 2 4 2 9 2" xfId="13056" xr:uid="{2CB8D8E8-1757-46CD-8EBF-763C1FF20EC9}"/>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9318FDD7-10D7-48AB-8AA0-4BF67CAFD2DD}"/>
    <cellStyle name="Comma 4 2 4 3 2 3" xfId="11396" xr:uid="{A86835B8-7157-403F-A4D7-A49BCA77DBC9}"/>
    <cellStyle name="Comma 4 2 4 3 3" xfId="5027" xr:uid="{00000000-0005-0000-0000-0000D0080000}"/>
    <cellStyle name="Comma 4 2 4 3 3 2" xfId="13469" xr:uid="{3946AF2D-1167-4006-BE91-A045CCE47C69}"/>
    <cellStyle name="Comma 4 2 4 3 4" xfId="9251" xr:uid="{EEED469A-59D9-4F5E-B6EA-E73D639BED6B}"/>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960F9177-7ED7-465B-8F2B-CF0DA54BA85C}"/>
    <cellStyle name="Comma 4 2 4 4 2 3" xfId="11809" xr:uid="{FA379B73-9486-4D8E-819B-762D9A7CC248}"/>
    <cellStyle name="Comma 4 2 4 4 3" xfId="5440" xr:uid="{00000000-0005-0000-0000-0000D4080000}"/>
    <cellStyle name="Comma 4 2 4 4 3 2" xfId="13882" xr:uid="{35A30596-1C93-410D-A45F-E1219131824F}"/>
    <cellStyle name="Comma 4 2 4 4 4" xfId="9664" xr:uid="{78699F97-DDB8-432B-981B-EC9BD1D20A06}"/>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B674653C-DA65-498F-8389-2E66E181181A}"/>
    <cellStyle name="Comma 4 2 4 5 2 3" xfId="12222" xr:uid="{F0D9D587-07DA-4B50-8F75-DD063CD6B8F0}"/>
    <cellStyle name="Comma 4 2 4 5 3" xfId="5853" xr:uid="{00000000-0005-0000-0000-0000D8080000}"/>
    <cellStyle name="Comma 4 2 4 5 3 2" xfId="14295" xr:uid="{621C1DDE-F1C3-4E5D-A1D2-6C3606FA03E1}"/>
    <cellStyle name="Comma 4 2 4 5 4" xfId="10077" xr:uid="{1EB0110C-DAD0-4CB2-AE44-6EF5DCABC25A}"/>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DB6FBB77-FADC-4D50-B77B-60805DB6E361}"/>
    <cellStyle name="Comma 4 2 4 6 2 3" xfId="12635" xr:uid="{51B71898-2834-4035-9FAE-160E053E7488}"/>
    <cellStyle name="Comma 4 2 4 6 3" xfId="6266" xr:uid="{00000000-0005-0000-0000-0000DC080000}"/>
    <cellStyle name="Comma 4 2 4 6 3 2" xfId="14708" xr:uid="{AA3B2765-ECAE-4D7B-9142-147AC9920EFE}"/>
    <cellStyle name="Comma 4 2 4 6 4" xfId="10490" xr:uid="{23E29AFE-097A-4C57-8E10-602ADA3BB78D}"/>
    <cellStyle name="Comma 4 2 4 7" xfId="2394" xr:uid="{00000000-0005-0000-0000-0000DD080000}"/>
    <cellStyle name="Comma 4 2 4 7 2" xfId="6679" xr:uid="{00000000-0005-0000-0000-0000DE080000}"/>
    <cellStyle name="Comma 4 2 4 7 2 2" xfId="15121" xr:uid="{5890B22F-D05C-4823-A22F-7D7ABE43EA9D}"/>
    <cellStyle name="Comma 4 2 4 7 3" xfId="10903" xr:uid="{22019408-0D31-41F9-8092-00320819191C}"/>
    <cellStyle name="Comma 4 2 4 8" xfId="2369" xr:uid="{00000000-0005-0000-0000-0000DF080000}"/>
    <cellStyle name="Comma 4 2 4 9" xfId="2772" xr:uid="{00000000-0005-0000-0000-0000E0080000}"/>
    <cellStyle name="Comma 4 2 4 9 2" xfId="6996" xr:uid="{00000000-0005-0000-0000-0000E1080000}"/>
    <cellStyle name="Comma 4 2 4 9 2 2" xfId="15438" xr:uid="{18C0D8CE-85EF-438C-849A-97C37ABF4E26}"/>
    <cellStyle name="Comma 4 2 4 9 3" xfId="11220" xr:uid="{DB95B1B8-09D1-4C16-927B-AC5194446F45}"/>
    <cellStyle name="Comma 4 2 5" xfId="142" xr:uid="{00000000-0005-0000-0000-0000E2080000}"/>
    <cellStyle name="Comma 4 2 5 10" xfId="8839" xr:uid="{1F6D1807-2102-46B9-9199-55FE3276E61E}"/>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4C8D08EB-8720-455E-B2B2-89E8075F8227}"/>
    <cellStyle name="Comma 4 2 5 2 2 3" xfId="11398" xr:uid="{EE466716-1F3F-4635-9348-6345BFB2D210}"/>
    <cellStyle name="Comma 4 2 5 2 3" xfId="5029" xr:uid="{00000000-0005-0000-0000-0000E6080000}"/>
    <cellStyle name="Comma 4 2 5 2 3 2" xfId="13471" xr:uid="{9DDD6A33-1D7D-4301-81B7-D04DA93418F1}"/>
    <cellStyle name="Comma 4 2 5 2 4" xfId="9253" xr:uid="{B813CEF6-68F5-4541-AC92-98FBC6D7A03F}"/>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928420A2-CDA1-4988-8436-EE1B1E70236B}"/>
    <cellStyle name="Comma 4 2 5 3 2 3" xfId="11811" xr:uid="{EE800EFB-F39E-448C-B7B8-BC29D3AEC48C}"/>
    <cellStyle name="Comma 4 2 5 3 3" xfId="5442" xr:uid="{00000000-0005-0000-0000-0000EA080000}"/>
    <cellStyle name="Comma 4 2 5 3 3 2" xfId="13884" xr:uid="{00F02FC9-D3A7-414D-AE73-64DA82B9F643}"/>
    <cellStyle name="Comma 4 2 5 3 4" xfId="9666" xr:uid="{FC8A8AB1-76B0-4795-A075-4058B23D7545}"/>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B2B51D99-D191-4CA5-BA3C-0C275EEFF1A5}"/>
    <cellStyle name="Comma 4 2 5 4 2 3" xfId="12224" xr:uid="{85705FB7-2037-470F-89EC-95EC51CCF515}"/>
    <cellStyle name="Comma 4 2 5 4 3" xfId="5855" xr:uid="{00000000-0005-0000-0000-0000EE080000}"/>
    <cellStyle name="Comma 4 2 5 4 3 2" xfId="14297" xr:uid="{12BAC3FA-A473-45E9-94BB-FF26A7139A0C}"/>
    <cellStyle name="Comma 4 2 5 4 4" xfId="10079" xr:uid="{F88F3D80-0EFF-404E-BB62-C722DA03C7A0}"/>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32D7C1FF-8CA4-44CC-B9FA-E2651825A729}"/>
    <cellStyle name="Comma 4 2 5 5 2 3" xfId="12637" xr:uid="{4B6CFE0B-189E-4C34-8B0A-DC2EE5C928DC}"/>
    <cellStyle name="Comma 4 2 5 5 3" xfId="6268" xr:uid="{00000000-0005-0000-0000-0000F2080000}"/>
    <cellStyle name="Comma 4 2 5 5 3 2" xfId="14710" xr:uid="{BB56D753-C2D8-4E78-A404-3E51CEC21822}"/>
    <cellStyle name="Comma 4 2 5 5 4" xfId="10492" xr:uid="{B224F086-C08B-421C-A05B-CB518730CB18}"/>
    <cellStyle name="Comma 4 2 5 6" xfId="2396" xr:uid="{00000000-0005-0000-0000-0000F3080000}"/>
    <cellStyle name="Comma 4 2 5 6 2" xfId="6681" xr:uid="{00000000-0005-0000-0000-0000F4080000}"/>
    <cellStyle name="Comma 4 2 5 6 2 2" xfId="15123" xr:uid="{EF655B31-A680-42B5-B481-3B8A62A09154}"/>
    <cellStyle name="Comma 4 2 5 6 3" xfId="10905" xr:uid="{0C4080EF-2C9B-4AD9-BD58-E634CAA97265}"/>
    <cellStyle name="Comma 4 2 5 7" xfId="2367" xr:uid="{00000000-0005-0000-0000-0000F5080000}"/>
    <cellStyle name="Comma 4 2 5 8" xfId="2774" xr:uid="{00000000-0005-0000-0000-0000F6080000}"/>
    <cellStyle name="Comma 4 2 5 8 2" xfId="6998" xr:uid="{00000000-0005-0000-0000-0000F7080000}"/>
    <cellStyle name="Comma 4 2 5 8 2 2" xfId="15440" xr:uid="{945ED751-633A-43F2-A317-74D09F3D7F50}"/>
    <cellStyle name="Comma 4 2 5 8 3" xfId="11222" xr:uid="{FA70B5AC-703F-4A82-92F4-C864088335C6}"/>
    <cellStyle name="Comma 4 2 5 9" xfId="4615" xr:uid="{00000000-0005-0000-0000-0000F8080000}"/>
    <cellStyle name="Comma 4 2 5 9 2" xfId="13057" xr:uid="{9344D1F0-7FC7-484F-A11C-996A1A653A0F}"/>
    <cellStyle name="Comma 4 2 6" xfId="143" xr:uid="{00000000-0005-0000-0000-0000F9080000}"/>
    <cellStyle name="Comma 4 2 6 10" xfId="8840" xr:uid="{16506DCB-6ABB-4C80-A5A8-26EDB9069C12}"/>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05AF5205-8D3F-4722-A903-246DBF166C7E}"/>
    <cellStyle name="Comma 4 2 6 2 2 3" xfId="11399" xr:uid="{F033CCC8-72F0-45C0-AC1E-8A482F8AF3A3}"/>
    <cellStyle name="Comma 4 2 6 2 3" xfId="5030" xr:uid="{00000000-0005-0000-0000-0000FD080000}"/>
    <cellStyle name="Comma 4 2 6 2 3 2" xfId="13472" xr:uid="{ACD369B4-E526-4C70-8300-E91D05541649}"/>
    <cellStyle name="Comma 4 2 6 2 4" xfId="9254" xr:uid="{7CAACDC8-756C-4369-84C0-43DD98DCB798}"/>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F2E1D1A7-B2DC-4A2C-824C-21BFE79D5BAB}"/>
    <cellStyle name="Comma 4 2 6 3 2 3" xfId="11812" xr:uid="{F962F911-72A4-4216-8F15-AF4DDB05599F}"/>
    <cellStyle name="Comma 4 2 6 3 3" xfId="5443" xr:uid="{00000000-0005-0000-0000-000001090000}"/>
    <cellStyle name="Comma 4 2 6 3 3 2" xfId="13885" xr:uid="{598EA850-B70D-4727-BD5C-06349C575E64}"/>
    <cellStyle name="Comma 4 2 6 3 4" xfId="9667" xr:uid="{3F6E27A5-5B99-4155-BB6D-1F3A6AACED7F}"/>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86F6CBFE-0924-4EDA-808E-39B769ED1521}"/>
    <cellStyle name="Comma 4 2 6 4 2 3" xfId="12225" xr:uid="{FBCE1D7C-63D2-48A7-B905-CAE8B9EEC05C}"/>
    <cellStyle name="Comma 4 2 6 4 3" xfId="5856" xr:uid="{00000000-0005-0000-0000-000005090000}"/>
    <cellStyle name="Comma 4 2 6 4 3 2" xfId="14298" xr:uid="{1734D78E-90B5-414F-B518-9722B8461502}"/>
    <cellStyle name="Comma 4 2 6 4 4" xfId="10080" xr:uid="{E6A4B0FD-CA80-4853-AD48-3289C022502E}"/>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C4249738-E4E8-4B30-A669-DCE9269E3463}"/>
    <cellStyle name="Comma 4 2 6 5 2 3" xfId="12638" xr:uid="{9B736884-5F44-4391-9723-4648E28A8FE3}"/>
    <cellStyle name="Comma 4 2 6 5 3" xfId="6269" xr:uid="{00000000-0005-0000-0000-000009090000}"/>
    <cellStyle name="Comma 4 2 6 5 3 2" xfId="14711" xr:uid="{BAD61D48-D4BD-4309-BEF8-2A66679F0A0D}"/>
    <cellStyle name="Comma 4 2 6 5 4" xfId="10493" xr:uid="{0BCECDBB-C1EE-41E2-9297-36CB3098DE24}"/>
    <cellStyle name="Comma 4 2 6 6" xfId="2397" xr:uid="{00000000-0005-0000-0000-00000A090000}"/>
    <cellStyle name="Comma 4 2 6 6 2" xfId="6682" xr:uid="{00000000-0005-0000-0000-00000B090000}"/>
    <cellStyle name="Comma 4 2 6 6 2 2" xfId="15124" xr:uid="{2E842072-DB16-49BE-BAE9-1A6B492D3396}"/>
    <cellStyle name="Comma 4 2 6 6 3" xfId="10906" xr:uid="{7B94A659-9115-498A-B39A-C5A9EA775023}"/>
    <cellStyle name="Comma 4 2 6 7" xfId="2366" xr:uid="{00000000-0005-0000-0000-00000C090000}"/>
    <cellStyle name="Comma 4 2 6 8" xfId="2775" xr:uid="{00000000-0005-0000-0000-00000D090000}"/>
    <cellStyle name="Comma 4 2 6 8 2" xfId="6999" xr:uid="{00000000-0005-0000-0000-00000E090000}"/>
    <cellStyle name="Comma 4 2 6 8 2 2" xfId="15441" xr:uid="{77FF30F2-5EF4-463C-BF23-D2CEAAC5CCE6}"/>
    <cellStyle name="Comma 4 2 6 8 3" xfId="11223" xr:uid="{D4F6A412-4C43-4363-8156-718C79D5A94A}"/>
    <cellStyle name="Comma 4 2 6 9" xfId="4616" xr:uid="{00000000-0005-0000-0000-00000F090000}"/>
    <cellStyle name="Comma 4 2 6 9 2" xfId="13058" xr:uid="{F5A516A1-6007-4BE4-B7A8-9CAE45FA422D}"/>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F8845335-5416-47E8-8146-0D8D98DD0576}"/>
    <cellStyle name="Comma 4 3 2 10 3" xfId="11224" xr:uid="{5E27EB8D-CF15-421D-A71E-0C6B8577E424}"/>
    <cellStyle name="Comma 4 3 2 11" xfId="4617" xr:uid="{00000000-0005-0000-0000-000014090000}"/>
    <cellStyle name="Comma 4 3 2 11 2" xfId="13059" xr:uid="{3500C847-7FAD-45AE-B0E5-F8775B251755}"/>
    <cellStyle name="Comma 4 3 2 12" xfId="8841" xr:uid="{D77AA73D-C8C6-41A5-8551-2905E49A2810}"/>
    <cellStyle name="Comma 4 3 2 2" xfId="146" xr:uid="{00000000-0005-0000-0000-000015090000}"/>
    <cellStyle name="Comma 4 3 2 2 10" xfId="4618" xr:uid="{00000000-0005-0000-0000-000016090000}"/>
    <cellStyle name="Comma 4 3 2 2 10 2" xfId="13060" xr:uid="{17441141-BBDC-492C-AA97-E432A0DCF023}"/>
    <cellStyle name="Comma 4 3 2 2 11" xfId="8842" xr:uid="{11A7AA59-B030-457F-9F89-BF6C5FFF25DA}"/>
    <cellStyle name="Comma 4 3 2 2 2" xfId="147" xr:uid="{00000000-0005-0000-0000-000017090000}"/>
    <cellStyle name="Comma 4 3 2 2 2 10" xfId="8843" xr:uid="{95E7E9BC-A02F-46C9-9E8C-5686CE855644}"/>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1D0A2BB3-8E5D-4831-B6DD-400D398E5711}"/>
    <cellStyle name="Comma 4 3 2 2 2 2 2 3" xfId="11402" xr:uid="{EB3A5431-5917-4CDE-BACE-52EC91F799E1}"/>
    <cellStyle name="Comma 4 3 2 2 2 2 3" xfId="5033" xr:uid="{00000000-0005-0000-0000-00001B090000}"/>
    <cellStyle name="Comma 4 3 2 2 2 2 3 2" xfId="13475" xr:uid="{B8D0F890-1920-4198-A6B8-057D214A2CD6}"/>
    <cellStyle name="Comma 4 3 2 2 2 2 4" xfId="9257" xr:uid="{4F34252E-D7DF-4479-AE42-1FA6654776CE}"/>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B1D56ED9-19AD-4B66-BD1B-5129B946CADA}"/>
    <cellStyle name="Comma 4 3 2 2 2 3 2 3" xfId="11815" xr:uid="{853F3ADE-15A4-4012-BB8E-DC027D4AD2FF}"/>
    <cellStyle name="Comma 4 3 2 2 2 3 3" xfId="5446" xr:uid="{00000000-0005-0000-0000-00001F090000}"/>
    <cellStyle name="Comma 4 3 2 2 2 3 3 2" xfId="13888" xr:uid="{F7F582D4-ED6C-4CC7-A006-A74E29D95968}"/>
    <cellStyle name="Comma 4 3 2 2 2 3 4" xfId="9670" xr:uid="{BA5B4710-8907-4431-B933-D21A611BE8C0}"/>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812031C8-3E40-4490-8CE8-9414F96F1449}"/>
    <cellStyle name="Comma 4 3 2 2 2 4 2 3" xfId="12228" xr:uid="{7D0FAD68-1B68-477B-94E5-149FB62425D1}"/>
    <cellStyle name="Comma 4 3 2 2 2 4 3" xfId="5859" xr:uid="{00000000-0005-0000-0000-000023090000}"/>
    <cellStyle name="Comma 4 3 2 2 2 4 3 2" xfId="14301" xr:uid="{76157CCB-A4AE-4708-BC23-4E05ABB0D3DE}"/>
    <cellStyle name="Comma 4 3 2 2 2 4 4" xfId="10083" xr:uid="{1B353993-14C2-41AF-8CA9-857D546228C8}"/>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C98DD760-ACA6-4501-A131-C73E56F639B9}"/>
    <cellStyle name="Comma 4 3 2 2 2 5 2 3" xfId="12641" xr:uid="{7D01190A-7C4C-47CB-9194-A4482EEBCABC}"/>
    <cellStyle name="Comma 4 3 2 2 2 5 3" xfId="6272" xr:uid="{00000000-0005-0000-0000-000027090000}"/>
    <cellStyle name="Comma 4 3 2 2 2 5 3 2" xfId="14714" xr:uid="{1BAE7C11-56E5-44D1-8151-AF8690E05517}"/>
    <cellStyle name="Comma 4 3 2 2 2 5 4" xfId="10496" xr:uid="{A3ADACCC-249B-4ABF-8733-0507F6DA364C}"/>
    <cellStyle name="Comma 4 3 2 2 2 6" xfId="2400" xr:uid="{00000000-0005-0000-0000-000028090000}"/>
    <cellStyle name="Comma 4 3 2 2 2 6 2" xfId="6685" xr:uid="{00000000-0005-0000-0000-000029090000}"/>
    <cellStyle name="Comma 4 3 2 2 2 6 2 2" xfId="15127" xr:uid="{3484752A-084F-4EE3-B071-FCB2430160AA}"/>
    <cellStyle name="Comma 4 3 2 2 2 6 3" xfId="10909" xr:uid="{352648EA-0B26-4073-8F6A-B86FFBA4AD06}"/>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256D043E-CD73-4D6A-927E-AF7545FB1232}"/>
    <cellStyle name="Comma 4 3 2 2 2 8 3" xfId="11226" xr:uid="{C796B956-DD76-45F3-9433-95EC884352F6}"/>
    <cellStyle name="Comma 4 3 2 2 2 9" xfId="4619" xr:uid="{00000000-0005-0000-0000-00002D090000}"/>
    <cellStyle name="Comma 4 3 2 2 2 9 2" xfId="13061" xr:uid="{4CB54101-5A73-4C2F-989B-F0B1FCA824F5}"/>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ECE53FB1-279B-4C05-B995-D05FF1737485}"/>
    <cellStyle name="Comma 4 3 2 2 3 2 3" xfId="11401" xr:uid="{FAEA442C-380B-49D0-9554-B86DB1890464}"/>
    <cellStyle name="Comma 4 3 2 2 3 3" xfId="5032" xr:uid="{00000000-0005-0000-0000-000031090000}"/>
    <cellStyle name="Comma 4 3 2 2 3 3 2" xfId="13474" xr:uid="{2BABA142-4E52-454D-88DE-317019EE8C9D}"/>
    <cellStyle name="Comma 4 3 2 2 3 4" xfId="9256" xr:uid="{4D831F8C-C5D2-4BA9-AC66-879744540AB9}"/>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6A254983-5E83-415E-969B-FAA08CC047E2}"/>
    <cellStyle name="Comma 4 3 2 2 4 2 3" xfId="11814" xr:uid="{D6828228-4002-4511-98E6-D17CEAFBF531}"/>
    <cellStyle name="Comma 4 3 2 2 4 3" xfId="5445" xr:uid="{00000000-0005-0000-0000-000035090000}"/>
    <cellStyle name="Comma 4 3 2 2 4 3 2" xfId="13887" xr:uid="{774FC7FA-4DEF-436E-91A5-0F58B4F343BB}"/>
    <cellStyle name="Comma 4 3 2 2 4 4" xfId="9669" xr:uid="{0E29C454-585F-4FBC-BF8B-16C35F07D5F4}"/>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6B0F50DC-9E68-4B1F-B0F1-90F67C33ED50}"/>
    <cellStyle name="Comma 4 3 2 2 5 2 3" xfId="12227" xr:uid="{3C9BF4E0-1FB5-40E3-818C-55087DCFDB10}"/>
    <cellStyle name="Comma 4 3 2 2 5 3" xfId="5858" xr:uid="{00000000-0005-0000-0000-000039090000}"/>
    <cellStyle name="Comma 4 3 2 2 5 3 2" xfId="14300" xr:uid="{C70033F5-796E-49A5-A30C-5D43BDCF8E86}"/>
    <cellStyle name="Comma 4 3 2 2 5 4" xfId="10082" xr:uid="{77A2FC8D-4EA9-42F8-B23B-29B770679571}"/>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8C68C3DA-2433-4848-8B72-9DE0D9ABB159}"/>
    <cellStyle name="Comma 4 3 2 2 6 2 3" xfId="12640" xr:uid="{0D3C5AFC-F914-4FF4-8A50-0C1A61663279}"/>
    <cellStyle name="Comma 4 3 2 2 6 3" xfId="6271" xr:uid="{00000000-0005-0000-0000-00003D090000}"/>
    <cellStyle name="Comma 4 3 2 2 6 3 2" xfId="14713" xr:uid="{C735CD45-F578-4C02-AA91-026E20A383C6}"/>
    <cellStyle name="Comma 4 3 2 2 6 4" xfId="10495" xr:uid="{9CE5D5F6-B9B1-457B-8AC3-571E51E691BF}"/>
    <cellStyle name="Comma 4 3 2 2 7" xfId="2399" xr:uid="{00000000-0005-0000-0000-00003E090000}"/>
    <cellStyle name="Comma 4 3 2 2 7 2" xfId="6684" xr:uid="{00000000-0005-0000-0000-00003F090000}"/>
    <cellStyle name="Comma 4 3 2 2 7 2 2" xfId="15126" xr:uid="{4FC49529-3694-4140-8FF4-B77384695B54}"/>
    <cellStyle name="Comma 4 3 2 2 7 3" xfId="10908" xr:uid="{F832D4A3-12F3-4E6C-84F4-48BA8015DF15}"/>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F9B05D49-23AB-4203-A869-10EEC71D534D}"/>
    <cellStyle name="Comma 4 3 2 2 9 3" xfId="11225" xr:uid="{D6A0FAA6-8204-4378-A44F-76C8BA88064D}"/>
    <cellStyle name="Comma 4 3 2 3" xfId="148" xr:uid="{00000000-0005-0000-0000-000043090000}"/>
    <cellStyle name="Comma 4 3 2 3 10" xfId="8844" xr:uid="{33C0FCAA-3C81-426D-84DC-39323E983D9D}"/>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0C408F9E-58C0-4C35-9506-66B9CB48B0FF}"/>
    <cellStyle name="Comma 4 3 2 3 2 2 3" xfId="11403" xr:uid="{8EEE15E0-CCDB-4EEF-8C62-C4CDAE0B3EAF}"/>
    <cellStyle name="Comma 4 3 2 3 2 3" xfId="5034" xr:uid="{00000000-0005-0000-0000-000047090000}"/>
    <cellStyle name="Comma 4 3 2 3 2 3 2" xfId="13476" xr:uid="{3436B1B5-F1C9-4247-AA5C-5CF05FE83FB9}"/>
    <cellStyle name="Comma 4 3 2 3 2 4" xfId="9258" xr:uid="{49EB88EC-F9B5-4FFA-95CE-A7C0AAA9CE76}"/>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6DD578AC-7ED8-4226-A7BB-529035AEE765}"/>
    <cellStyle name="Comma 4 3 2 3 3 2 3" xfId="11816" xr:uid="{574FEB93-1A7A-4174-8479-73C003BC59C7}"/>
    <cellStyle name="Comma 4 3 2 3 3 3" xfId="5447" xr:uid="{00000000-0005-0000-0000-00004B090000}"/>
    <cellStyle name="Comma 4 3 2 3 3 3 2" xfId="13889" xr:uid="{C7051760-AE75-4D94-AF2D-52763C5E96A4}"/>
    <cellStyle name="Comma 4 3 2 3 3 4" xfId="9671" xr:uid="{61A3C727-F7B6-4D33-94E6-B78D70759D16}"/>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A69E9445-82CC-45E7-B246-F60684253966}"/>
    <cellStyle name="Comma 4 3 2 3 4 2 3" xfId="12229" xr:uid="{D2E8B5F1-BE10-4114-8585-85D2B317A644}"/>
    <cellStyle name="Comma 4 3 2 3 4 3" xfId="5860" xr:uid="{00000000-0005-0000-0000-00004F090000}"/>
    <cellStyle name="Comma 4 3 2 3 4 3 2" xfId="14302" xr:uid="{51999557-12C0-43BA-86BA-BDF2719279C1}"/>
    <cellStyle name="Comma 4 3 2 3 4 4" xfId="10084" xr:uid="{286E5A71-8D2A-40C6-97D8-B506E1862B78}"/>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7604CBDE-91B8-4B74-9B8B-9BC0484A41A3}"/>
    <cellStyle name="Comma 4 3 2 3 5 2 3" xfId="12642" xr:uid="{A371787D-5489-4BAC-BCE7-3623EFCD96E5}"/>
    <cellStyle name="Comma 4 3 2 3 5 3" xfId="6273" xr:uid="{00000000-0005-0000-0000-000053090000}"/>
    <cellStyle name="Comma 4 3 2 3 5 3 2" xfId="14715" xr:uid="{3461AE86-7E91-4036-9BF8-1247D266CF02}"/>
    <cellStyle name="Comma 4 3 2 3 5 4" xfId="10497" xr:uid="{B2A21E3B-6760-4626-9145-6C6EB0A536E9}"/>
    <cellStyle name="Comma 4 3 2 3 6" xfId="2401" xr:uid="{00000000-0005-0000-0000-000054090000}"/>
    <cellStyle name="Comma 4 3 2 3 6 2" xfId="6686" xr:uid="{00000000-0005-0000-0000-000055090000}"/>
    <cellStyle name="Comma 4 3 2 3 6 2 2" xfId="15128" xr:uid="{3DAE996A-340B-4476-8A86-41608C06DD2C}"/>
    <cellStyle name="Comma 4 3 2 3 6 3" xfId="10910" xr:uid="{F515D3C1-12AA-4B41-8AEB-2E80127A9096}"/>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CAE495CA-A72B-44B3-AB60-2B41A0906F2A}"/>
    <cellStyle name="Comma 4 3 2 3 8 3" xfId="11227" xr:uid="{C241C510-B056-4A54-B9D4-C25BCB0C9B78}"/>
    <cellStyle name="Comma 4 3 2 3 9" xfId="4620" xr:uid="{00000000-0005-0000-0000-000059090000}"/>
    <cellStyle name="Comma 4 3 2 3 9 2" xfId="13062" xr:uid="{14BD39A2-541E-4F55-9F36-184377824486}"/>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383EE9D8-8CD1-42D7-9248-694856BBBF71}"/>
    <cellStyle name="Comma 4 3 2 4 2 3" xfId="11400" xr:uid="{983B0273-2804-4146-9A64-6F56ACC69872}"/>
    <cellStyle name="Comma 4 3 2 4 3" xfId="5031" xr:uid="{00000000-0005-0000-0000-00005D090000}"/>
    <cellStyle name="Comma 4 3 2 4 3 2" xfId="13473" xr:uid="{A6C62B63-EDB7-42C2-BD06-F48C444AAC1F}"/>
    <cellStyle name="Comma 4 3 2 4 4" xfId="9255" xr:uid="{DF91921B-2B08-4303-933A-3A26E80D7FA0}"/>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2E6D8E94-147C-4C67-ACAC-45C4A0921420}"/>
    <cellStyle name="Comma 4 3 2 5 2 3" xfId="11813" xr:uid="{DC3DA833-75FE-498A-83B7-FA43DDE47319}"/>
    <cellStyle name="Comma 4 3 2 5 3" xfId="5444" xr:uid="{00000000-0005-0000-0000-000061090000}"/>
    <cellStyle name="Comma 4 3 2 5 3 2" xfId="13886" xr:uid="{929F550E-3001-437B-BE8C-856E1F586B85}"/>
    <cellStyle name="Comma 4 3 2 5 4" xfId="9668" xr:uid="{B606BBC7-12D6-443B-A2A6-A4A1F8406023}"/>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37A9BC9A-E95B-4070-B4FB-D6BA88820EA9}"/>
    <cellStyle name="Comma 4 3 2 6 2 3" xfId="12226" xr:uid="{FA4B4D24-F3C1-4265-BCE5-658AC6118467}"/>
    <cellStyle name="Comma 4 3 2 6 3" xfId="5857" xr:uid="{00000000-0005-0000-0000-000065090000}"/>
    <cellStyle name="Comma 4 3 2 6 3 2" xfId="14299" xr:uid="{E227BB58-9EA6-4EC1-8EE5-EA67A78BB6ED}"/>
    <cellStyle name="Comma 4 3 2 6 4" xfId="10081" xr:uid="{65242264-43E3-43F1-B006-960CA3045DC3}"/>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91711EF8-E11E-415A-A5C6-E64A34D38728}"/>
    <cellStyle name="Comma 4 3 2 7 2 3" xfId="12639" xr:uid="{891851D7-E6C6-4422-B043-33BCC3BAD850}"/>
    <cellStyle name="Comma 4 3 2 7 3" xfId="6270" xr:uid="{00000000-0005-0000-0000-000069090000}"/>
    <cellStyle name="Comma 4 3 2 7 3 2" xfId="14712" xr:uid="{2AE2B3C0-B305-4EE8-9B44-99A992AD999E}"/>
    <cellStyle name="Comma 4 3 2 7 4" xfId="10494" xr:uid="{F9C4B87A-7945-4B22-B741-5336C9F3C9C7}"/>
    <cellStyle name="Comma 4 3 2 8" xfId="2398" xr:uid="{00000000-0005-0000-0000-00006A090000}"/>
    <cellStyle name="Comma 4 3 2 8 2" xfId="6683" xr:uid="{00000000-0005-0000-0000-00006B090000}"/>
    <cellStyle name="Comma 4 3 2 8 2 2" xfId="15125" xr:uid="{D37565C2-E408-4A3B-B9E1-AA61A57F2E66}"/>
    <cellStyle name="Comma 4 3 2 8 3" xfId="10907" xr:uid="{9E2951D9-AF35-4FAD-8C0F-36E750955732}"/>
    <cellStyle name="Comma 4 3 2 9" xfId="2365" xr:uid="{00000000-0005-0000-0000-00006C090000}"/>
    <cellStyle name="Comma 4 3 3" xfId="149" xr:uid="{00000000-0005-0000-0000-00006D090000}"/>
    <cellStyle name="Comma 4 3 3 10" xfId="4621" xr:uid="{00000000-0005-0000-0000-00006E090000}"/>
    <cellStyle name="Comma 4 3 3 10 2" xfId="13063" xr:uid="{8BCD4EE2-A28D-4E6B-899A-A464D6C45E33}"/>
    <cellStyle name="Comma 4 3 3 11" xfId="8845" xr:uid="{E0C8D874-1842-404A-ADDF-7CFFC2B66637}"/>
    <cellStyle name="Comma 4 3 3 2" xfId="150" xr:uid="{00000000-0005-0000-0000-00006F090000}"/>
    <cellStyle name="Comma 4 3 3 2 10" xfId="8846" xr:uid="{944E613F-9DE4-43B0-965C-1BD34FF19D60}"/>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2F5B8AC2-171B-4B8D-9E6E-1510F471C9F2}"/>
    <cellStyle name="Comma 4 3 3 2 2 2 3" xfId="11405" xr:uid="{FAF14C8D-3F4C-4878-801B-13CB3ABAB6BC}"/>
    <cellStyle name="Comma 4 3 3 2 2 3" xfId="5036" xr:uid="{00000000-0005-0000-0000-000073090000}"/>
    <cellStyle name="Comma 4 3 3 2 2 3 2" xfId="13478" xr:uid="{3C0BAC2B-3B43-46B1-8AAF-21C93E6A6C9C}"/>
    <cellStyle name="Comma 4 3 3 2 2 4" xfId="9260" xr:uid="{9D943CB2-497A-4A9F-9C79-39515CB89F07}"/>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0A1AB23B-6009-4D9D-9E92-69020B3CF305}"/>
    <cellStyle name="Comma 4 3 3 2 3 2 3" xfId="11818" xr:uid="{29B12DD1-AAA1-455D-B318-F90F264F9DC3}"/>
    <cellStyle name="Comma 4 3 3 2 3 3" xfId="5449" xr:uid="{00000000-0005-0000-0000-000077090000}"/>
    <cellStyle name="Comma 4 3 3 2 3 3 2" xfId="13891" xr:uid="{90A22786-3C5D-462E-99B8-9156636BB316}"/>
    <cellStyle name="Comma 4 3 3 2 3 4" xfId="9673" xr:uid="{FB1E7DAF-A6F0-4F41-A354-696F59D29DC3}"/>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BCCD44F8-8D5D-4D84-BC72-82E790064A2A}"/>
    <cellStyle name="Comma 4 3 3 2 4 2 3" xfId="12231" xr:uid="{D5BA90B1-56D6-4FF5-99AA-5825176440CB}"/>
    <cellStyle name="Comma 4 3 3 2 4 3" xfId="5862" xr:uid="{00000000-0005-0000-0000-00007B090000}"/>
    <cellStyle name="Comma 4 3 3 2 4 3 2" xfId="14304" xr:uid="{4CA9E9D5-CB42-4700-A0C4-F88C71E12F24}"/>
    <cellStyle name="Comma 4 3 3 2 4 4" xfId="10086" xr:uid="{5F5736CF-C37A-46BE-8030-85F9644DB5D5}"/>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556743BB-A2AC-43A6-A977-1F68CA1BD9F1}"/>
    <cellStyle name="Comma 4 3 3 2 5 2 3" xfId="12644" xr:uid="{CF40A168-1495-49B4-9236-32A1FBAA5C65}"/>
    <cellStyle name="Comma 4 3 3 2 5 3" xfId="6275" xr:uid="{00000000-0005-0000-0000-00007F090000}"/>
    <cellStyle name="Comma 4 3 3 2 5 3 2" xfId="14717" xr:uid="{720E5903-B143-46F4-92B7-69D50F030634}"/>
    <cellStyle name="Comma 4 3 3 2 5 4" xfId="10499" xr:uid="{453F15A0-4686-4701-830C-85CE04B18762}"/>
    <cellStyle name="Comma 4 3 3 2 6" xfId="2403" xr:uid="{00000000-0005-0000-0000-000080090000}"/>
    <cellStyle name="Comma 4 3 3 2 6 2" xfId="6688" xr:uid="{00000000-0005-0000-0000-000081090000}"/>
    <cellStyle name="Comma 4 3 3 2 6 2 2" xfId="15130" xr:uid="{0D9471D0-4CBA-4A37-8726-3537585A18DA}"/>
    <cellStyle name="Comma 4 3 3 2 6 3" xfId="10912" xr:uid="{5EB7A77A-8B1A-41C1-8DE4-F3A404001A70}"/>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84BDD786-C8BA-4B98-B627-A1CFD5FF2154}"/>
    <cellStyle name="Comma 4 3 3 2 8 3" xfId="11229" xr:uid="{5A2A8367-C63F-4677-9E35-72C102C8FA91}"/>
    <cellStyle name="Comma 4 3 3 2 9" xfId="4622" xr:uid="{00000000-0005-0000-0000-000085090000}"/>
    <cellStyle name="Comma 4 3 3 2 9 2" xfId="13064" xr:uid="{B84ECAE1-B0C0-4709-8807-85DB531A6575}"/>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E8369DCB-63CB-42C2-9E6C-FD7F66A0F0BD}"/>
    <cellStyle name="Comma 4 3 3 3 2 3" xfId="11404" xr:uid="{E9208A04-1076-49B3-B2F7-DF18A7A959AD}"/>
    <cellStyle name="Comma 4 3 3 3 3" xfId="5035" xr:uid="{00000000-0005-0000-0000-000089090000}"/>
    <cellStyle name="Comma 4 3 3 3 3 2" xfId="13477" xr:uid="{10CE633F-F516-4A89-B9F8-8B8769EA4E0A}"/>
    <cellStyle name="Comma 4 3 3 3 4" xfId="9259" xr:uid="{1504CBAA-1DCA-42CB-B303-CA12439FD5DB}"/>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F087C936-3252-4F5A-A4C2-BA5158325535}"/>
    <cellStyle name="Comma 4 3 3 4 2 3" xfId="11817" xr:uid="{511FA375-4A39-470C-BC5C-23E065AED712}"/>
    <cellStyle name="Comma 4 3 3 4 3" xfId="5448" xr:uid="{00000000-0005-0000-0000-00008D090000}"/>
    <cellStyle name="Comma 4 3 3 4 3 2" xfId="13890" xr:uid="{BA89862E-BAE0-4C47-B494-A39EC05B9DEF}"/>
    <cellStyle name="Comma 4 3 3 4 4" xfId="9672" xr:uid="{02992729-169A-4CE6-AEA4-A40E87757BA4}"/>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84477600-1B58-4224-933A-3BF57BBFE8B3}"/>
    <cellStyle name="Comma 4 3 3 5 2 3" xfId="12230" xr:uid="{4294332B-A9EF-4E58-8130-46D183B1C075}"/>
    <cellStyle name="Comma 4 3 3 5 3" xfId="5861" xr:uid="{00000000-0005-0000-0000-000091090000}"/>
    <cellStyle name="Comma 4 3 3 5 3 2" xfId="14303" xr:uid="{BB1F9DFB-661C-45DA-B538-9D8AE97B3E1C}"/>
    <cellStyle name="Comma 4 3 3 5 4" xfId="10085" xr:uid="{9CD5409C-A669-4EEE-A986-3AA39F072C6B}"/>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60F94BD3-E881-4BD4-9CE5-0B405226DA4E}"/>
    <cellStyle name="Comma 4 3 3 6 2 3" xfId="12643" xr:uid="{2BEDEE08-7266-4814-9FB7-2F152B9175BB}"/>
    <cellStyle name="Comma 4 3 3 6 3" xfId="6274" xr:uid="{00000000-0005-0000-0000-000095090000}"/>
    <cellStyle name="Comma 4 3 3 6 3 2" xfId="14716" xr:uid="{0738EA98-5FB4-48BD-ABB1-2E986295552C}"/>
    <cellStyle name="Comma 4 3 3 6 4" xfId="10498" xr:uid="{FC099269-B855-4383-9D8D-8F971E563C2C}"/>
    <cellStyle name="Comma 4 3 3 7" xfId="2402" xr:uid="{00000000-0005-0000-0000-000096090000}"/>
    <cellStyle name="Comma 4 3 3 7 2" xfId="6687" xr:uid="{00000000-0005-0000-0000-000097090000}"/>
    <cellStyle name="Comma 4 3 3 7 2 2" xfId="15129" xr:uid="{DDE6B9A7-6877-456B-94DD-7AE14F336B70}"/>
    <cellStyle name="Comma 4 3 3 7 3" xfId="10911" xr:uid="{10E9F770-A841-41F1-997F-4F99094A4935}"/>
    <cellStyle name="Comma 4 3 3 8" xfId="2361" xr:uid="{00000000-0005-0000-0000-000098090000}"/>
    <cellStyle name="Comma 4 3 3 9" xfId="2780" xr:uid="{00000000-0005-0000-0000-000099090000}"/>
    <cellStyle name="Comma 4 3 3 9 2" xfId="7004" xr:uid="{00000000-0005-0000-0000-00009A090000}"/>
    <cellStyle name="Comma 4 3 3 9 2 2" xfId="15446" xr:uid="{EA1F233B-6D07-4BF6-846A-8CC8669B8171}"/>
    <cellStyle name="Comma 4 3 3 9 3" xfId="11228" xr:uid="{98715B80-6B64-447D-A3FD-C1E0A47B3310}"/>
    <cellStyle name="Comma 4 3 4" xfId="151" xr:uid="{00000000-0005-0000-0000-00009B090000}"/>
    <cellStyle name="Comma 4 3 4 10" xfId="8847" xr:uid="{D917CF7E-A35C-491A-8F4D-1C260C8F828F}"/>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992C4CB8-A14D-443D-BEE1-D80590392E7F}"/>
    <cellStyle name="Comma 4 3 4 2 2 3" xfId="11406" xr:uid="{C300606D-7F5A-4425-AA89-1B3118695585}"/>
    <cellStyle name="Comma 4 3 4 2 3" xfId="5037" xr:uid="{00000000-0005-0000-0000-00009F090000}"/>
    <cellStyle name="Comma 4 3 4 2 3 2" xfId="13479" xr:uid="{7D8F407E-EBFB-40EF-9FFC-8FAE82D094E9}"/>
    <cellStyle name="Comma 4 3 4 2 4" xfId="9261" xr:uid="{08B650F7-32C3-476C-AF13-CA4D9C404434}"/>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64B7B6F9-DDB4-4327-8E8F-73472E735A9A}"/>
    <cellStyle name="Comma 4 3 4 3 2 3" xfId="11819" xr:uid="{F8B0BD9A-D493-416B-AC54-BB0D42D80720}"/>
    <cellStyle name="Comma 4 3 4 3 3" xfId="5450" xr:uid="{00000000-0005-0000-0000-0000A3090000}"/>
    <cellStyle name="Comma 4 3 4 3 3 2" xfId="13892" xr:uid="{DA3780C7-FAAB-44CA-A337-730DE0F456B2}"/>
    <cellStyle name="Comma 4 3 4 3 4" xfId="9674" xr:uid="{6985744F-3E70-46F1-894D-A7A01EBF5C66}"/>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00ED8C84-5ECD-464A-B1AA-54A8B6050CD7}"/>
    <cellStyle name="Comma 4 3 4 4 2 3" xfId="12232" xr:uid="{A2981610-8B77-48B9-93A4-DBD45F1B8372}"/>
    <cellStyle name="Comma 4 3 4 4 3" xfId="5863" xr:uid="{00000000-0005-0000-0000-0000A7090000}"/>
    <cellStyle name="Comma 4 3 4 4 3 2" xfId="14305" xr:uid="{E31B2FC9-9096-490B-9495-3772FBFCFB5E}"/>
    <cellStyle name="Comma 4 3 4 4 4" xfId="10087" xr:uid="{D3842AA4-DFD6-4371-A9AD-F079702B0743}"/>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50C041B4-8352-40A0-AFF4-8831CA002B20}"/>
    <cellStyle name="Comma 4 3 4 5 2 3" xfId="12645" xr:uid="{5A20CDCF-3F99-4CB8-BF23-79A7F4A9EBB0}"/>
    <cellStyle name="Comma 4 3 4 5 3" xfId="6276" xr:uid="{00000000-0005-0000-0000-0000AB090000}"/>
    <cellStyle name="Comma 4 3 4 5 3 2" xfId="14718" xr:uid="{1C4FB739-9A4C-4F32-BF92-4250F4FCF202}"/>
    <cellStyle name="Comma 4 3 4 5 4" xfId="10500" xr:uid="{86DACA5F-F4B6-452B-92D3-F305B037237C}"/>
    <cellStyle name="Comma 4 3 4 6" xfId="2404" xr:uid="{00000000-0005-0000-0000-0000AC090000}"/>
    <cellStyle name="Comma 4 3 4 6 2" xfId="6689" xr:uid="{00000000-0005-0000-0000-0000AD090000}"/>
    <cellStyle name="Comma 4 3 4 6 2 2" xfId="15131" xr:uid="{A033E807-93BF-4F0F-AF70-DA254CB3A601}"/>
    <cellStyle name="Comma 4 3 4 6 3" xfId="10913" xr:uid="{77881ED3-6657-4AE9-A2C1-8B561A819457}"/>
    <cellStyle name="Comma 4 3 4 7" xfId="2700" xr:uid="{00000000-0005-0000-0000-0000AE090000}"/>
    <cellStyle name="Comma 4 3 4 8" xfId="2782" xr:uid="{00000000-0005-0000-0000-0000AF090000}"/>
    <cellStyle name="Comma 4 3 4 8 2" xfId="7006" xr:uid="{00000000-0005-0000-0000-0000B0090000}"/>
    <cellStyle name="Comma 4 3 4 8 2 2" xfId="15448" xr:uid="{5B045060-EFDF-4437-814F-5A027F5783C8}"/>
    <cellStyle name="Comma 4 3 4 8 3" xfId="11230" xr:uid="{8DAEE723-7D1F-429F-8405-42A013A40A2D}"/>
    <cellStyle name="Comma 4 3 4 9" xfId="4623" xr:uid="{00000000-0005-0000-0000-0000B1090000}"/>
    <cellStyle name="Comma 4 3 4 9 2" xfId="13065" xr:uid="{C8409442-B6C1-4934-90D7-5DDE9EBB39E2}"/>
    <cellStyle name="Comma 4 3 5" xfId="152" xr:uid="{00000000-0005-0000-0000-0000B2090000}"/>
    <cellStyle name="Comma 4 3 5 10" xfId="8848" xr:uid="{A12BF18F-E8D7-458C-9431-94E2172EC068}"/>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BC164FBC-11D9-46D5-8387-1A00D30BE7E1}"/>
    <cellStyle name="Comma 4 3 5 2 2 3" xfId="11407" xr:uid="{B299AE9E-6977-422E-9817-5E535A0A3749}"/>
    <cellStyle name="Comma 4 3 5 2 3" xfId="5038" xr:uid="{00000000-0005-0000-0000-0000B6090000}"/>
    <cellStyle name="Comma 4 3 5 2 3 2" xfId="13480" xr:uid="{2D965CBD-7A66-4972-B8F3-C4DE0CFDCF46}"/>
    <cellStyle name="Comma 4 3 5 2 4" xfId="9262" xr:uid="{472AE7CD-C7D4-4D07-AC01-E239DDE74679}"/>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0EFFB9CF-A6A3-49DF-8988-1C28A3B3B46C}"/>
    <cellStyle name="Comma 4 3 5 3 2 3" xfId="11820" xr:uid="{383733CF-4546-4E07-B341-5A0C6269E77E}"/>
    <cellStyle name="Comma 4 3 5 3 3" xfId="5451" xr:uid="{00000000-0005-0000-0000-0000BA090000}"/>
    <cellStyle name="Comma 4 3 5 3 3 2" xfId="13893" xr:uid="{64D9B865-5DB0-4DC0-8E29-CDBBD69BA634}"/>
    <cellStyle name="Comma 4 3 5 3 4" xfId="9675" xr:uid="{D01CA73B-A46A-47E6-965F-89A073FEFC52}"/>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3D42C342-5BD8-42C1-8353-B6A6D2D934E9}"/>
    <cellStyle name="Comma 4 3 5 4 2 3" xfId="12233" xr:uid="{841AF278-47E7-4DA8-BA7E-50F395A1A947}"/>
    <cellStyle name="Comma 4 3 5 4 3" xfId="5864" xr:uid="{00000000-0005-0000-0000-0000BE090000}"/>
    <cellStyle name="Comma 4 3 5 4 3 2" xfId="14306" xr:uid="{53B7E6DA-D1C9-460C-B7BD-6CC75AD49A5C}"/>
    <cellStyle name="Comma 4 3 5 4 4" xfId="10088" xr:uid="{60E27841-4E77-4532-B0E9-DFADFA3953DE}"/>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66FF1A89-BB99-4BF0-8B5D-A6EF37A5EEEE}"/>
    <cellStyle name="Comma 4 3 5 5 2 3" xfId="12646" xr:uid="{F0524511-52B0-496A-A534-F18FCBF2AD6D}"/>
    <cellStyle name="Comma 4 3 5 5 3" xfId="6277" xr:uid="{00000000-0005-0000-0000-0000C2090000}"/>
    <cellStyle name="Comma 4 3 5 5 3 2" xfId="14719" xr:uid="{69EDB17B-DA8A-412F-B2B8-7EED884132CA}"/>
    <cellStyle name="Comma 4 3 5 5 4" xfId="10501" xr:uid="{08773584-E092-48CB-AE74-7B7D747FB19F}"/>
    <cellStyle name="Comma 4 3 5 6" xfId="2405" xr:uid="{00000000-0005-0000-0000-0000C3090000}"/>
    <cellStyle name="Comma 4 3 5 6 2" xfId="6690" xr:uid="{00000000-0005-0000-0000-0000C4090000}"/>
    <cellStyle name="Comma 4 3 5 6 2 2" xfId="15132" xr:uid="{26FD5374-6A63-4CE7-BAF9-D9207895956D}"/>
    <cellStyle name="Comma 4 3 5 6 3" xfId="10914" xr:uid="{133790F8-ECF4-4CB1-BD09-8B78E0231D92}"/>
    <cellStyle name="Comma 4 3 5 7" xfId="2701" xr:uid="{00000000-0005-0000-0000-0000C5090000}"/>
    <cellStyle name="Comma 4 3 5 8" xfId="2783" xr:uid="{00000000-0005-0000-0000-0000C6090000}"/>
    <cellStyle name="Comma 4 3 5 8 2" xfId="7007" xr:uid="{00000000-0005-0000-0000-0000C7090000}"/>
    <cellStyle name="Comma 4 3 5 8 2 2" xfId="15449" xr:uid="{77D9B5D5-9E4B-4526-A893-5A3685AEEDAF}"/>
    <cellStyle name="Comma 4 3 5 8 3" xfId="11231" xr:uid="{D8317E73-7A97-462E-8133-60914E6F41F0}"/>
    <cellStyle name="Comma 4 3 5 9" xfId="4624" xr:uid="{00000000-0005-0000-0000-0000C8090000}"/>
    <cellStyle name="Comma 4 3 5 9 2" xfId="13066" xr:uid="{69E80788-AFC6-4A69-B4FB-8029ACB989A9}"/>
    <cellStyle name="Comma 4 4" xfId="153" xr:uid="{00000000-0005-0000-0000-0000C9090000}"/>
    <cellStyle name="Comma 4 4 10" xfId="2784" xr:uid="{00000000-0005-0000-0000-0000CA090000}"/>
    <cellStyle name="Comma 4 4 10 2" xfId="7008" xr:uid="{00000000-0005-0000-0000-0000CB090000}"/>
    <cellStyle name="Comma 4 4 10 2 2" xfId="15450" xr:uid="{AB783596-D6A6-479F-8AC5-EAE9E0442081}"/>
    <cellStyle name="Comma 4 4 10 3" xfId="11232" xr:uid="{DC492E47-F9F3-47A6-B819-F6993F9F4848}"/>
    <cellStyle name="Comma 4 4 11" xfId="4625" xr:uid="{00000000-0005-0000-0000-0000CC090000}"/>
    <cellStyle name="Comma 4 4 11 2" xfId="13067" xr:uid="{F1DCAF77-796C-4FAF-9AA9-21B9EEE68D95}"/>
    <cellStyle name="Comma 4 4 12" xfId="8849" xr:uid="{23F47184-F70F-420A-8277-EC8CE24FAC0A}"/>
    <cellStyle name="Comma 4 4 2" xfId="154" xr:uid="{00000000-0005-0000-0000-0000CD090000}"/>
    <cellStyle name="Comma 4 4 2 10" xfId="4626" xr:uid="{00000000-0005-0000-0000-0000CE090000}"/>
    <cellStyle name="Comma 4 4 2 10 2" xfId="13068" xr:uid="{B30805C5-B9F5-4BB8-97F1-D636348A812A}"/>
    <cellStyle name="Comma 4 4 2 11" xfId="8850" xr:uid="{01FC480B-957B-4394-BEC2-B54ED80AB46B}"/>
    <cellStyle name="Comma 4 4 2 2" xfId="155" xr:uid="{00000000-0005-0000-0000-0000CF090000}"/>
    <cellStyle name="Comma 4 4 2 2 10" xfId="8851" xr:uid="{CEC44653-31C0-48BB-9D97-61720A8D6247}"/>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E8F3E3B9-B277-4CC9-8C80-02B4D4AAC12A}"/>
    <cellStyle name="Comma 4 4 2 2 2 2 3" xfId="11410" xr:uid="{43EEB5E5-9013-4103-B17C-57957BAF7F00}"/>
    <cellStyle name="Comma 4 4 2 2 2 3" xfId="5041" xr:uid="{00000000-0005-0000-0000-0000D3090000}"/>
    <cellStyle name="Comma 4 4 2 2 2 3 2" xfId="13483" xr:uid="{5D121711-2610-408D-B433-B3C0DEDC92EB}"/>
    <cellStyle name="Comma 4 4 2 2 2 4" xfId="9265" xr:uid="{12A0EBCA-4AE4-4EAA-8ADE-BBD0053A74AA}"/>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13FDA6F1-EB00-4D6A-A715-FA2DA444E729}"/>
    <cellStyle name="Comma 4 4 2 2 3 2 3" xfId="11823" xr:uid="{098C411F-1E08-4A04-8B35-D8E173BB73D5}"/>
    <cellStyle name="Comma 4 4 2 2 3 3" xfId="5454" xr:uid="{00000000-0005-0000-0000-0000D7090000}"/>
    <cellStyle name="Comma 4 4 2 2 3 3 2" xfId="13896" xr:uid="{1BE0F420-1ED2-492F-B076-F3C48D712F04}"/>
    <cellStyle name="Comma 4 4 2 2 3 4" xfId="9678" xr:uid="{2D6DAFAA-B994-4C70-9DAF-203A04EF9516}"/>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B1F726BB-ABE5-4C8B-B4FC-A04F66B7EA86}"/>
    <cellStyle name="Comma 4 4 2 2 4 2 3" xfId="12236" xr:uid="{C3B88F18-5143-445C-B382-FF774D50FB5B}"/>
    <cellStyle name="Comma 4 4 2 2 4 3" xfId="5867" xr:uid="{00000000-0005-0000-0000-0000DB090000}"/>
    <cellStyle name="Comma 4 4 2 2 4 3 2" xfId="14309" xr:uid="{047C6E6E-7842-4ED1-ABCA-09EE3D05E35B}"/>
    <cellStyle name="Comma 4 4 2 2 4 4" xfId="10091" xr:uid="{4F5751D6-DF16-4A51-AD08-6D089471BD12}"/>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C09A3EF3-142A-43C2-B269-7FF1B3FC5018}"/>
    <cellStyle name="Comma 4 4 2 2 5 2 3" xfId="12649" xr:uid="{0239CD05-36F1-44DE-88FE-78794AA631E9}"/>
    <cellStyle name="Comma 4 4 2 2 5 3" xfId="6280" xr:uid="{00000000-0005-0000-0000-0000DF090000}"/>
    <cellStyle name="Comma 4 4 2 2 5 3 2" xfId="14722" xr:uid="{B7FCF206-F3EC-4924-A19E-16461E221F06}"/>
    <cellStyle name="Comma 4 4 2 2 5 4" xfId="10504" xr:uid="{A45AA126-29AA-4DA1-8C1F-B04689FD4F8C}"/>
    <cellStyle name="Comma 4 4 2 2 6" xfId="2408" xr:uid="{00000000-0005-0000-0000-0000E0090000}"/>
    <cellStyle name="Comma 4 4 2 2 6 2" xfId="6693" xr:uid="{00000000-0005-0000-0000-0000E1090000}"/>
    <cellStyle name="Comma 4 4 2 2 6 2 2" xfId="15135" xr:uid="{D837F8B7-D2C3-4166-A21E-09CAE2F44216}"/>
    <cellStyle name="Comma 4 4 2 2 6 3" xfId="10917" xr:uid="{8777BDCD-028B-49EB-B2E6-E8F84E1F647D}"/>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D71B372E-3FDA-4F9C-8233-4B143D5F3985}"/>
    <cellStyle name="Comma 4 4 2 2 8 3" xfId="11234" xr:uid="{3297BAFD-EB32-4F3C-B7B4-3E8417E9ABBD}"/>
    <cellStyle name="Comma 4 4 2 2 9" xfId="4627" xr:uid="{00000000-0005-0000-0000-0000E5090000}"/>
    <cellStyle name="Comma 4 4 2 2 9 2" xfId="13069" xr:uid="{D5932B70-17D7-45A3-9E41-E0547493CB59}"/>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7CDBD69C-6577-45CE-89B1-4F7E88B4E935}"/>
    <cellStyle name="Comma 4 4 2 3 2 3" xfId="11409" xr:uid="{32BFD9AA-4F37-491D-A3A4-EF45724AE97A}"/>
    <cellStyle name="Comma 4 4 2 3 3" xfId="5040" xr:uid="{00000000-0005-0000-0000-0000E9090000}"/>
    <cellStyle name="Comma 4 4 2 3 3 2" xfId="13482" xr:uid="{D2AA61CB-3166-4890-ADBC-9F10F0842FA6}"/>
    <cellStyle name="Comma 4 4 2 3 4" xfId="9264" xr:uid="{0BC29BE3-0DCE-4164-ABB8-C305C7F17D1C}"/>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F6A8C81F-059C-48D3-9BC4-21E5B570BC90}"/>
    <cellStyle name="Comma 4 4 2 4 2 3" xfId="11822" xr:uid="{971145BA-A100-413C-802F-999956CC16EC}"/>
    <cellStyle name="Comma 4 4 2 4 3" xfId="5453" xr:uid="{00000000-0005-0000-0000-0000ED090000}"/>
    <cellStyle name="Comma 4 4 2 4 3 2" xfId="13895" xr:uid="{7BDD24BC-9D0B-431E-8FFF-CEEDB28151D2}"/>
    <cellStyle name="Comma 4 4 2 4 4" xfId="9677" xr:uid="{DB351B89-DCBC-41AB-BA48-AC5EAAB475AB}"/>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53056D2C-63CD-4D0F-8D87-3635BD1255F4}"/>
    <cellStyle name="Comma 4 4 2 5 2 3" xfId="12235" xr:uid="{DF07CEA4-B298-43BA-B0A2-F40F3D2563DC}"/>
    <cellStyle name="Comma 4 4 2 5 3" xfId="5866" xr:uid="{00000000-0005-0000-0000-0000F1090000}"/>
    <cellStyle name="Comma 4 4 2 5 3 2" xfId="14308" xr:uid="{021B378C-A4C4-4DC7-B1F4-C0C07CA0B60D}"/>
    <cellStyle name="Comma 4 4 2 5 4" xfId="10090" xr:uid="{C22473DB-717B-440C-8DC4-5EC2702D6F7A}"/>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378FE902-0CFF-487B-96F7-C48139A72118}"/>
    <cellStyle name="Comma 4 4 2 6 2 3" xfId="12648" xr:uid="{2F395920-0D10-4BF4-9A97-CA6108FF4975}"/>
    <cellStyle name="Comma 4 4 2 6 3" xfId="6279" xr:uid="{00000000-0005-0000-0000-0000F5090000}"/>
    <cellStyle name="Comma 4 4 2 6 3 2" xfId="14721" xr:uid="{5B84237D-6037-4159-957C-1587BC1D8EA4}"/>
    <cellStyle name="Comma 4 4 2 6 4" xfId="10503" xr:uid="{676099C3-D4AD-494B-8C80-A6B19E325262}"/>
    <cellStyle name="Comma 4 4 2 7" xfId="2407" xr:uid="{00000000-0005-0000-0000-0000F6090000}"/>
    <cellStyle name="Comma 4 4 2 7 2" xfId="6692" xr:uid="{00000000-0005-0000-0000-0000F7090000}"/>
    <cellStyle name="Comma 4 4 2 7 2 2" xfId="15134" xr:uid="{F2C7FE10-2A46-419C-AA20-C26CA6A214B3}"/>
    <cellStyle name="Comma 4 4 2 7 3" xfId="10916" xr:uid="{83F8CEBB-B93A-434B-A349-B8B73F712889}"/>
    <cellStyle name="Comma 4 4 2 8" xfId="2703" xr:uid="{00000000-0005-0000-0000-0000F8090000}"/>
    <cellStyle name="Comma 4 4 2 9" xfId="2785" xr:uid="{00000000-0005-0000-0000-0000F9090000}"/>
    <cellStyle name="Comma 4 4 2 9 2" xfId="7009" xr:uid="{00000000-0005-0000-0000-0000FA090000}"/>
    <cellStyle name="Comma 4 4 2 9 2 2" xfId="15451" xr:uid="{EA871EB9-B533-41C8-8746-78838D10EC8A}"/>
    <cellStyle name="Comma 4 4 2 9 3" xfId="11233" xr:uid="{58E6D12A-43D3-42DE-AF6A-32B36D1EAF88}"/>
    <cellStyle name="Comma 4 4 3" xfId="156" xr:uid="{00000000-0005-0000-0000-0000FB090000}"/>
    <cellStyle name="Comma 4 4 3 10" xfId="8852" xr:uid="{CD47E43A-D01C-48DD-8D06-F8A2164DC8C9}"/>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E4223ED6-48FA-49ED-9024-34757E0A8A92}"/>
    <cellStyle name="Comma 4 4 3 2 2 3" xfId="11411" xr:uid="{46ABB85B-F769-4F46-9BA1-8CF24CD97F61}"/>
    <cellStyle name="Comma 4 4 3 2 3" xfId="5042" xr:uid="{00000000-0005-0000-0000-0000FF090000}"/>
    <cellStyle name="Comma 4 4 3 2 3 2" xfId="13484" xr:uid="{C930B3A5-0B90-41DA-B024-A6B169CF178D}"/>
    <cellStyle name="Comma 4 4 3 2 4" xfId="9266" xr:uid="{949F2061-7422-4725-9C83-E262EDF03815}"/>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2633DD88-A3C2-4B75-B0CE-8BCAB6F857DD}"/>
    <cellStyle name="Comma 4 4 3 3 2 3" xfId="11824" xr:uid="{3B534EB4-E421-4EBE-B418-13EF750F9AF8}"/>
    <cellStyle name="Comma 4 4 3 3 3" xfId="5455" xr:uid="{00000000-0005-0000-0000-0000030A0000}"/>
    <cellStyle name="Comma 4 4 3 3 3 2" xfId="13897" xr:uid="{E496A7A4-1EBA-47CD-84BD-E273A212CB0E}"/>
    <cellStyle name="Comma 4 4 3 3 4" xfId="9679" xr:uid="{8780C6EC-B502-48DE-A431-BBC7FDA7617B}"/>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522C6992-9DD7-4EE7-87E2-358E9546BA07}"/>
    <cellStyle name="Comma 4 4 3 4 2 3" xfId="12237" xr:uid="{61F9879B-2BDF-4389-8A02-1E595EF1AF89}"/>
    <cellStyle name="Comma 4 4 3 4 3" xfId="5868" xr:uid="{00000000-0005-0000-0000-0000070A0000}"/>
    <cellStyle name="Comma 4 4 3 4 3 2" xfId="14310" xr:uid="{CEE52F9B-56A2-4EB5-A65B-E2EB9476E1AA}"/>
    <cellStyle name="Comma 4 4 3 4 4" xfId="10092" xr:uid="{C7F79E66-97F9-4873-A3CD-86D43AE7C920}"/>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A7A98EBD-D585-40D9-BB77-02481D23B610}"/>
    <cellStyle name="Comma 4 4 3 5 2 3" xfId="12650" xr:uid="{D71CFE15-43F7-4B99-ABFE-6D04F189E2B1}"/>
    <cellStyle name="Comma 4 4 3 5 3" xfId="6281" xr:uid="{00000000-0005-0000-0000-00000B0A0000}"/>
    <cellStyle name="Comma 4 4 3 5 3 2" xfId="14723" xr:uid="{7ADBBA34-7733-44D6-9212-B372A6548688}"/>
    <cellStyle name="Comma 4 4 3 5 4" xfId="10505" xr:uid="{CC947703-1EA4-410B-AD06-EB3AF936F37E}"/>
    <cellStyle name="Comma 4 4 3 6" xfId="2409" xr:uid="{00000000-0005-0000-0000-00000C0A0000}"/>
    <cellStyle name="Comma 4 4 3 6 2" xfId="6694" xr:uid="{00000000-0005-0000-0000-00000D0A0000}"/>
    <cellStyle name="Comma 4 4 3 6 2 2" xfId="15136" xr:uid="{7ECADE5D-9E5F-4EF0-873F-E4E9699E2B82}"/>
    <cellStyle name="Comma 4 4 3 6 3" xfId="10918" xr:uid="{B1ABB116-F323-43B2-8AC0-1AD9AFA032DB}"/>
    <cellStyle name="Comma 4 4 3 7" xfId="2705" xr:uid="{00000000-0005-0000-0000-00000E0A0000}"/>
    <cellStyle name="Comma 4 4 3 8" xfId="2787" xr:uid="{00000000-0005-0000-0000-00000F0A0000}"/>
    <cellStyle name="Comma 4 4 3 8 2" xfId="7011" xr:uid="{00000000-0005-0000-0000-0000100A0000}"/>
    <cellStyle name="Comma 4 4 3 8 2 2" xfId="15453" xr:uid="{7D213E5A-DE73-462C-95CD-ED6C99D336B4}"/>
    <cellStyle name="Comma 4 4 3 8 3" xfId="11235" xr:uid="{191A2367-EDF8-45EF-91CC-45A3598DC52A}"/>
    <cellStyle name="Comma 4 4 3 9" xfId="4628" xr:uid="{00000000-0005-0000-0000-0000110A0000}"/>
    <cellStyle name="Comma 4 4 3 9 2" xfId="13070" xr:uid="{E1216CDE-8286-419E-8DF8-F275143FC8DC}"/>
    <cellStyle name="Comma 4 4 4" xfId="690" xr:uid="{00000000-0005-0000-0000-0000120A0000}"/>
    <cellStyle name="Comma 4 4 4 2" xfId="2961" xr:uid="{00000000-0005-0000-0000-0000130A0000}"/>
    <cellStyle name="Comma 4 4 4 2 2" xfId="7184" xr:uid="{00000000-0005-0000-0000-0000140A0000}"/>
    <cellStyle name="Comma 4 4 4 2 2 2" xfId="15626" xr:uid="{BB686BC6-C568-4796-9A79-D2FD4CA7DB3F}"/>
    <cellStyle name="Comma 4 4 4 2 3" xfId="11408" xr:uid="{416F3232-5418-41F3-A515-E11717126098}"/>
    <cellStyle name="Comma 4 4 4 3" xfId="5039" xr:uid="{00000000-0005-0000-0000-0000150A0000}"/>
    <cellStyle name="Comma 4 4 4 3 2" xfId="13481" xr:uid="{837192E2-E054-4CE7-A15F-A81D856387ED}"/>
    <cellStyle name="Comma 4 4 4 4" xfId="9263" xr:uid="{4CB79E8B-F08A-4381-BB94-CF6B5B79A80B}"/>
    <cellStyle name="Comma 4 4 5" xfId="1143" xr:uid="{00000000-0005-0000-0000-0000160A0000}"/>
    <cellStyle name="Comma 4 4 5 2" xfId="3374" xr:uid="{00000000-0005-0000-0000-0000170A0000}"/>
    <cellStyle name="Comma 4 4 5 2 2" xfId="7597" xr:uid="{00000000-0005-0000-0000-0000180A0000}"/>
    <cellStyle name="Comma 4 4 5 2 2 2" xfId="16039" xr:uid="{D3335DF0-7B9E-4D96-9F48-73666D20892F}"/>
    <cellStyle name="Comma 4 4 5 2 3" xfId="11821" xr:uid="{97DA1C73-CD43-4A5F-8B44-7F0974344ED1}"/>
    <cellStyle name="Comma 4 4 5 3" xfId="5452" xr:uid="{00000000-0005-0000-0000-0000190A0000}"/>
    <cellStyle name="Comma 4 4 5 3 2" xfId="13894" xr:uid="{F6B8D9F0-8EDE-400B-BDD8-DBEB75B14D66}"/>
    <cellStyle name="Comma 4 4 5 4" xfId="9676" xr:uid="{92D9A812-8FA8-4DD1-884E-723AE2C09FF0}"/>
    <cellStyle name="Comma 4 4 6" xfId="1557" xr:uid="{00000000-0005-0000-0000-00001A0A0000}"/>
    <cellStyle name="Comma 4 4 6 2" xfId="3787" xr:uid="{00000000-0005-0000-0000-00001B0A0000}"/>
    <cellStyle name="Comma 4 4 6 2 2" xfId="8010" xr:uid="{00000000-0005-0000-0000-00001C0A0000}"/>
    <cellStyle name="Comma 4 4 6 2 2 2" xfId="16452" xr:uid="{1D463BCB-3A89-4EA1-ACDD-1060B89557A4}"/>
    <cellStyle name="Comma 4 4 6 2 3" xfId="12234" xr:uid="{C8ADA781-2B0B-4750-9FBB-E019B1CE9777}"/>
    <cellStyle name="Comma 4 4 6 3" xfId="5865" xr:uid="{00000000-0005-0000-0000-00001D0A0000}"/>
    <cellStyle name="Comma 4 4 6 3 2" xfId="14307" xr:uid="{35B83C89-F5E0-4325-8A23-06422DEF4F97}"/>
    <cellStyle name="Comma 4 4 6 4" xfId="10089" xr:uid="{F85505B1-17EE-4C83-B15C-51C9667186B7}"/>
    <cellStyle name="Comma 4 4 7" xfId="1971" xr:uid="{00000000-0005-0000-0000-00001E0A0000}"/>
    <cellStyle name="Comma 4 4 7 2" xfId="4200" xr:uid="{00000000-0005-0000-0000-00001F0A0000}"/>
    <cellStyle name="Comma 4 4 7 2 2" xfId="8423" xr:uid="{00000000-0005-0000-0000-0000200A0000}"/>
    <cellStyle name="Comma 4 4 7 2 2 2" xfId="16865" xr:uid="{E28BDC61-DF7A-43BC-877C-88AAA1A04863}"/>
    <cellStyle name="Comma 4 4 7 2 3" xfId="12647" xr:uid="{CCFADF44-64B6-4030-A868-5F5395BED2F1}"/>
    <cellStyle name="Comma 4 4 7 3" xfId="6278" xr:uid="{00000000-0005-0000-0000-0000210A0000}"/>
    <cellStyle name="Comma 4 4 7 3 2" xfId="14720" xr:uid="{7E2420F8-2CA1-4796-8751-5119E119A14E}"/>
    <cellStyle name="Comma 4 4 7 4" xfId="10502" xr:uid="{C6508CD1-58B5-4758-9404-40514590A7B3}"/>
    <cellStyle name="Comma 4 4 8" xfId="2406" xr:uid="{00000000-0005-0000-0000-0000220A0000}"/>
    <cellStyle name="Comma 4 4 8 2" xfId="6691" xr:uid="{00000000-0005-0000-0000-0000230A0000}"/>
    <cellStyle name="Comma 4 4 8 2 2" xfId="15133" xr:uid="{F26133F7-F7CB-4799-9DC1-0B0CD2CB606E}"/>
    <cellStyle name="Comma 4 4 8 3" xfId="10915" xr:uid="{78DDADFE-02C8-4700-ABB3-D9FD0A04DF2F}"/>
    <cellStyle name="Comma 4 4 9" xfId="2702" xr:uid="{00000000-0005-0000-0000-0000240A0000}"/>
    <cellStyle name="Comma 4 5" xfId="157" xr:uid="{00000000-0005-0000-0000-0000250A0000}"/>
    <cellStyle name="Comma 4 5 10" xfId="4629" xr:uid="{00000000-0005-0000-0000-0000260A0000}"/>
    <cellStyle name="Comma 4 5 10 2" xfId="13071" xr:uid="{0AE28C4C-0E8E-40F7-AC26-38666505AB2D}"/>
    <cellStyle name="Comma 4 5 11" xfId="8853" xr:uid="{4149B613-CABD-4BF1-B9D7-E6C4852A2F90}"/>
    <cellStyle name="Comma 4 5 2" xfId="158" xr:uid="{00000000-0005-0000-0000-0000270A0000}"/>
    <cellStyle name="Comma 4 5 2 10" xfId="8854" xr:uid="{C7EBC8B5-FB6F-42BC-A316-52132B334303}"/>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5A6A7C6A-8588-4300-AA0D-3D4CF0CCD31F}"/>
    <cellStyle name="Comma 4 5 2 2 2 3" xfId="11413" xr:uid="{8E713311-1461-420F-AEF6-882FD3C45004}"/>
    <cellStyle name="Comma 4 5 2 2 3" xfId="5044" xr:uid="{00000000-0005-0000-0000-00002B0A0000}"/>
    <cellStyle name="Comma 4 5 2 2 3 2" xfId="13486" xr:uid="{672138EE-8F11-431B-93F2-16D3D05F557E}"/>
    <cellStyle name="Comma 4 5 2 2 4" xfId="9268" xr:uid="{70333D4D-11B7-4F71-B7A2-51B58FBFC01C}"/>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8A82A280-8A85-4DC0-A072-DA39E9B857C4}"/>
    <cellStyle name="Comma 4 5 2 3 2 3" xfId="11826" xr:uid="{EBD6F0DE-8397-47C9-8D23-4FA51A6C2313}"/>
    <cellStyle name="Comma 4 5 2 3 3" xfId="5457" xr:uid="{00000000-0005-0000-0000-00002F0A0000}"/>
    <cellStyle name="Comma 4 5 2 3 3 2" xfId="13899" xr:uid="{20230542-5595-4864-BD4E-E44A3784BA13}"/>
    <cellStyle name="Comma 4 5 2 3 4" xfId="9681" xr:uid="{5D8DC787-58A1-4551-ABBD-4B6DACAB18AE}"/>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39C1492A-3F4E-4232-8BF2-44CD53B2C742}"/>
    <cellStyle name="Comma 4 5 2 4 2 3" xfId="12239" xr:uid="{379E52FF-B77D-4015-AE90-555F21001AB8}"/>
    <cellStyle name="Comma 4 5 2 4 3" xfId="5870" xr:uid="{00000000-0005-0000-0000-0000330A0000}"/>
    <cellStyle name="Comma 4 5 2 4 3 2" xfId="14312" xr:uid="{F97FD5ED-BE04-4CF4-B5B2-9CDDD736BAAD}"/>
    <cellStyle name="Comma 4 5 2 4 4" xfId="10094" xr:uid="{D3004E8E-5A8D-407A-996C-18C4D0A81197}"/>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B3E6F61B-3C82-448D-8164-4B13B64857B5}"/>
    <cellStyle name="Comma 4 5 2 5 2 3" xfId="12652" xr:uid="{1F03F478-5CE2-4AA6-9FDA-5ED5DE498F31}"/>
    <cellStyle name="Comma 4 5 2 5 3" xfId="6283" xr:uid="{00000000-0005-0000-0000-0000370A0000}"/>
    <cellStyle name="Comma 4 5 2 5 3 2" xfId="14725" xr:uid="{ABF08B31-77F5-42DA-ADB1-28B132E979A6}"/>
    <cellStyle name="Comma 4 5 2 5 4" xfId="10507" xr:uid="{BC7A83B2-B7C3-4C6B-8C98-991BBC6F9D22}"/>
    <cellStyle name="Comma 4 5 2 6" xfId="2411" xr:uid="{00000000-0005-0000-0000-0000380A0000}"/>
    <cellStyle name="Comma 4 5 2 6 2" xfId="6696" xr:uid="{00000000-0005-0000-0000-0000390A0000}"/>
    <cellStyle name="Comma 4 5 2 6 2 2" xfId="15138" xr:uid="{D7DFA720-2215-43DB-BD15-660EBEB94F33}"/>
    <cellStyle name="Comma 4 5 2 6 3" xfId="10920" xr:uid="{040FA8A7-6F4E-4015-85C9-2BAB7307E201}"/>
    <cellStyle name="Comma 4 5 2 7" xfId="2707" xr:uid="{00000000-0005-0000-0000-00003A0A0000}"/>
    <cellStyle name="Comma 4 5 2 8" xfId="2789" xr:uid="{00000000-0005-0000-0000-00003B0A0000}"/>
    <cellStyle name="Comma 4 5 2 8 2" xfId="7013" xr:uid="{00000000-0005-0000-0000-00003C0A0000}"/>
    <cellStyle name="Comma 4 5 2 8 2 2" xfId="15455" xr:uid="{3C278F0D-9E75-4BB0-82D7-2DFA606D810C}"/>
    <cellStyle name="Comma 4 5 2 8 3" xfId="11237" xr:uid="{56FAAA39-E1EC-4A46-8848-43DCB1179989}"/>
    <cellStyle name="Comma 4 5 2 9" xfId="4630" xr:uid="{00000000-0005-0000-0000-00003D0A0000}"/>
    <cellStyle name="Comma 4 5 2 9 2" xfId="13072" xr:uid="{7F081C58-7FE0-4B6E-A70E-F81EFDA98DD7}"/>
    <cellStyle name="Comma 4 5 3" xfId="694" xr:uid="{00000000-0005-0000-0000-00003E0A0000}"/>
    <cellStyle name="Comma 4 5 3 2" xfId="2965" xr:uid="{00000000-0005-0000-0000-00003F0A0000}"/>
    <cellStyle name="Comma 4 5 3 2 2" xfId="7188" xr:uid="{00000000-0005-0000-0000-0000400A0000}"/>
    <cellStyle name="Comma 4 5 3 2 2 2" xfId="15630" xr:uid="{EBB957A7-D7FC-4A08-91BD-96E3906A49DF}"/>
    <cellStyle name="Comma 4 5 3 2 3" xfId="11412" xr:uid="{A7967928-008F-4A87-A146-B925E4167B5C}"/>
    <cellStyle name="Comma 4 5 3 3" xfId="5043" xr:uid="{00000000-0005-0000-0000-0000410A0000}"/>
    <cellStyle name="Comma 4 5 3 3 2" xfId="13485" xr:uid="{D8CB3DDE-7DB2-4101-B70F-FE4B144D5B0F}"/>
    <cellStyle name="Comma 4 5 3 4" xfId="9267" xr:uid="{6FB8D495-6B32-4A6A-9C89-2836D990AB29}"/>
    <cellStyle name="Comma 4 5 4" xfId="1147" xr:uid="{00000000-0005-0000-0000-0000420A0000}"/>
    <cellStyle name="Comma 4 5 4 2" xfId="3378" xr:uid="{00000000-0005-0000-0000-0000430A0000}"/>
    <cellStyle name="Comma 4 5 4 2 2" xfId="7601" xr:uid="{00000000-0005-0000-0000-0000440A0000}"/>
    <cellStyle name="Comma 4 5 4 2 2 2" xfId="16043" xr:uid="{2298235B-E342-49E6-A850-EDB2DA10476B}"/>
    <cellStyle name="Comma 4 5 4 2 3" xfId="11825" xr:uid="{D00428BA-7E52-437B-A9E0-764C3F8B4E2B}"/>
    <cellStyle name="Comma 4 5 4 3" xfId="5456" xr:uid="{00000000-0005-0000-0000-0000450A0000}"/>
    <cellStyle name="Comma 4 5 4 3 2" xfId="13898" xr:uid="{BBA8D5EB-85EF-46EE-BEA5-3A05EED39C49}"/>
    <cellStyle name="Comma 4 5 4 4" xfId="9680" xr:uid="{9411F18D-CBBC-4150-ACE6-CC2B13D7FD16}"/>
    <cellStyle name="Comma 4 5 5" xfId="1561" xr:uid="{00000000-0005-0000-0000-0000460A0000}"/>
    <cellStyle name="Comma 4 5 5 2" xfId="3791" xr:uid="{00000000-0005-0000-0000-0000470A0000}"/>
    <cellStyle name="Comma 4 5 5 2 2" xfId="8014" xr:uid="{00000000-0005-0000-0000-0000480A0000}"/>
    <cellStyle name="Comma 4 5 5 2 2 2" xfId="16456" xr:uid="{923AAB41-6E71-4C60-A4BD-486698D000D8}"/>
    <cellStyle name="Comma 4 5 5 2 3" xfId="12238" xr:uid="{21414EB1-5E07-4BA7-9607-360E23ECAE11}"/>
    <cellStyle name="Comma 4 5 5 3" xfId="5869" xr:uid="{00000000-0005-0000-0000-0000490A0000}"/>
    <cellStyle name="Comma 4 5 5 3 2" xfId="14311" xr:uid="{13F76F4B-E423-4796-89FC-B270EAA9AAE1}"/>
    <cellStyle name="Comma 4 5 5 4" xfId="10093" xr:uid="{B30546A8-CBBC-4A8E-A4DE-2FCD75AF03C5}"/>
    <cellStyle name="Comma 4 5 6" xfId="1975" xr:uid="{00000000-0005-0000-0000-00004A0A0000}"/>
    <cellStyle name="Comma 4 5 6 2" xfId="4204" xr:uid="{00000000-0005-0000-0000-00004B0A0000}"/>
    <cellStyle name="Comma 4 5 6 2 2" xfId="8427" xr:uid="{00000000-0005-0000-0000-00004C0A0000}"/>
    <cellStyle name="Comma 4 5 6 2 2 2" xfId="16869" xr:uid="{27C46E0D-E1EB-45C0-9226-AA39B06754D4}"/>
    <cellStyle name="Comma 4 5 6 2 3" xfId="12651" xr:uid="{4231854C-2A33-4D3B-BBCF-BB473B2E5A4C}"/>
    <cellStyle name="Comma 4 5 6 3" xfId="6282" xr:uid="{00000000-0005-0000-0000-00004D0A0000}"/>
    <cellStyle name="Comma 4 5 6 3 2" xfId="14724" xr:uid="{341D87DF-A085-4C0E-99B5-E88E28D9F3A3}"/>
    <cellStyle name="Comma 4 5 6 4" xfId="10506" xr:uid="{A4973D03-0E38-444B-8F52-9415594DB560}"/>
    <cellStyle name="Comma 4 5 7" xfId="2410" xr:uid="{00000000-0005-0000-0000-00004E0A0000}"/>
    <cellStyle name="Comma 4 5 7 2" xfId="6695" xr:uid="{00000000-0005-0000-0000-00004F0A0000}"/>
    <cellStyle name="Comma 4 5 7 2 2" xfId="15137" xr:uid="{8A52FE19-651D-4CCB-BFF8-F46EA0D8EB50}"/>
    <cellStyle name="Comma 4 5 7 3" xfId="10919" xr:uid="{E630C9AC-0BBD-4E5E-88A1-239C8750542B}"/>
    <cellStyle name="Comma 4 5 8" xfId="2706" xr:uid="{00000000-0005-0000-0000-0000500A0000}"/>
    <cellStyle name="Comma 4 5 9" xfId="2788" xr:uid="{00000000-0005-0000-0000-0000510A0000}"/>
    <cellStyle name="Comma 4 5 9 2" xfId="7012" xr:uid="{00000000-0005-0000-0000-0000520A0000}"/>
    <cellStyle name="Comma 4 5 9 2 2" xfId="15454" xr:uid="{C112AFFD-CAE0-4949-909D-F8A168F19B7B}"/>
    <cellStyle name="Comma 4 5 9 3" xfId="11236" xr:uid="{511CED8B-1668-4186-8118-98B3D81E907B}"/>
    <cellStyle name="Comma 4 6" xfId="159" xr:uid="{00000000-0005-0000-0000-0000530A0000}"/>
    <cellStyle name="Comma 4 6 10" xfId="8855" xr:uid="{4D851BC2-B74A-40BF-B766-54E32EB82BBA}"/>
    <cellStyle name="Comma 4 6 2" xfId="696" xr:uid="{00000000-0005-0000-0000-0000540A0000}"/>
    <cellStyle name="Comma 4 6 2 2" xfId="2967" xr:uid="{00000000-0005-0000-0000-0000550A0000}"/>
    <cellStyle name="Comma 4 6 2 2 2" xfId="7190" xr:uid="{00000000-0005-0000-0000-0000560A0000}"/>
    <cellStyle name="Comma 4 6 2 2 2 2" xfId="15632" xr:uid="{2F8B12F5-B0D7-478F-A2CC-23C9A396D26E}"/>
    <cellStyle name="Comma 4 6 2 2 3" xfId="11414" xr:uid="{940FD04E-F263-4D34-ADE9-989C2C80FA17}"/>
    <cellStyle name="Comma 4 6 2 3" xfId="5045" xr:uid="{00000000-0005-0000-0000-0000570A0000}"/>
    <cellStyle name="Comma 4 6 2 3 2" xfId="13487" xr:uid="{C666C01D-673D-44B0-B8A9-7A15BD02F20E}"/>
    <cellStyle name="Comma 4 6 2 4" xfId="9269" xr:uid="{09974531-0F84-4195-B1A5-488CD0A8F4B0}"/>
    <cellStyle name="Comma 4 6 3" xfId="1149" xr:uid="{00000000-0005-0000-0000-0000580A0000}"/>
    <cellStyle name="Comma 4 6 3 2" xfId="3380" xr:uid="{00000000-0005-0000-0000-0000590A0000}"/>
    <cellStyle name="Comma 4 6 3 2 2" xfId="7603" xr:uid="{00000000-0005-0000-0000-00005A0A0000}"/>
    <cellStyle name="Comma 4 6 3 2 2 2" xfId="16045" xr:uid="{7BB1A6B3-99E1-4C1E-B2EC-2DBDCC94F3C7}"/>
    <cellStyle name="Comma 4 6 3 2 3" xfId="11827" xr:uid="{AF60CB1F-5403-4693-830D-EA46E50F3802}"/>
    <cellStyle name="Comma 4 6 3 3" xfId="5458" xr:uid="{00000000-0005-0000-0000-00005B0A0000}"/>
    <cellStyle name="Comma 4 6 3 3 2" xfId="13900" xr:uid="{A4F82D02-7CB7-4A71-9410-C0E6FE5282C5}"/>
    <cellStyle name="Comma 4 6 3 4" xfId="9682" xr:uid="{5432B7A2-0F48-421C-914D-686A7EA1786A}"/>
    <cellStyle name="Comma 4 6 4" xfId="1563" xr:uid="{00000000-0005-0000-0000-00005C0A0000}"/>
    <cellStyle name="Comma 4 6 4 2" xfId="3793" xr:uid="{00000000-0005-0000-0000-00005D0A0000}"/>
    <cellStyle name="Comma 4 6 4 2 2" xfId="8016" xr:uid="{00000000-0005-0000-0000-00005E0A0000}"/>
    <cellStyle name="Comma 4 6 4 2 2 2" xfId="16458" xr:uid="{FA8C71B9-6DF1-4AD4-B0E5-39F555D4B858}"/>
    <cellStyle name="Comma 4 6 4 2 3" xfId="12240" xr:uid="{EEB4E16B-E257-4366-B8CE-29D881FA3963}"/>
    <cellStyle name="Comma 4 6 4 3" xfId="5871" xr:uid="{00000000-0005-0000-0000-00005F0A0000}"/>
    <cellStyle name="Comma 4 6 4 3 2" xfId="14313" xr:uid="{D3975EC5-327D-4CA8-BF26-E77E1A6271F5}"/>
    <cellStyle name="Comma 4 6 4 4" xfId="10095" xr:uid="{71990FFF-721F-4325-BD5A-E01795BBA0B2}"/>
    <cellStyle name="Comma 4 6 5" xfId="1977" xr:uid="{00000000-0005-0000-0000-0000600A0000}"/>
    <cellStyle name="Comma 4 6 5 2" xfId="4206" xr:uid="{00000000-0005-0000-0000-0000610A0000}"/>
    <cellStyle name="Comma 4 6 5 2 2" xfId="8429" xr:uid="{00000000-0005-0000-0000-0000620A0000}"/>
    <cellStyle name="Comma 4 6 5 2 2 2" xfId="16871" xr:uid="{0BF5768C-5716-425F-9993-6AF2AC409235}"/>
    <cellStyle name="Comma 4 6 5 2 3" xfId="12653" xr:uid="{8A7005FE-F0F0-4591-BBD0-EC989EE0190B}"/>
    <cellStyle name="Comma 4 6 5 3" xfId="6284" xr:uid="{00000000-0005-0000-0000-0000630A0000}"/>
    <cellStyle name="Comma 4 6 5 3 2" xfId="14726" xr:uid="{086E0D4C-BBAF-408D-A045-0E7B229A3F44}"/>
    <cellStyle name="Comma 4 6 5 4" xfId="10508" xr:uid="{F63A1BC3-3A98-43C1-9894-279BBD0B678F}"/>
    <cellStyle name="Comma 4 6 6" xfId="2412" xr:uid="{00000000-0005-0000-0000-0000640A0000}"/>
    <cellStyle name="Comma 4 6 6 2" xfId="6697" xr:uid="{00000000-0005-0000-0000-0000650A0000}"/>
    <cellStyle name="Comma 4 6 6 2 2" xfId="15139" xr:uid="{24164A0D-006A-4181-9862-C810F86106FC}"/>
    <cellStyle name="Comma 4 6 6 3" xfId="10921" xr:uid="{A35AC2F8-74FC-468C-ACEE-F54D7356466D}"/>
    <cellStyle name="Comma 4 6 7" xfId="2708" xr:uid="{00000000-0005-0000-0000-0000660A0000}"/>
    <cellStyle name="Comma 4 6 8" xfId="2790" xr:uid="{00000000-0005-0000-0000-0000670A0000}"/>
    <cellStyle name="Comma 4 6 8 2" xfId="7014" xr:uid="{00000000-0005-0000-0000-0000680A0000}"/>
    <cellStyle name="Comma 4 6 8 2 2" xfId="15456" xr:uid="{7D63953D-0F4D-4A3F-B33A-ACB2E3C5A517}"/>
    <cellStyle name="Comma 4 6 8 3" xfId="11238" xr:uid="{432841FE-F4C4-4E8F-A397-4FF0453AEBF1}"/>
    <cellStyle name="Comma 4 6 9" xfId="4631" xr:uid="{00000000-0005-0000-0000-0000690A0000}"/>
    <cellStyle name="Comma 4 6 9 2" xfId="13073" xr:uid="{133EE28A-2CF4-4402-AA37-EF5D482A913E}"/>
    <cellStyle name="Comma 4 7" xfId="160" xr:uid="{00000000-0005-0000-0000-00006A0A0000}"/>
    <cellStyle name="Comma 4 7 10" xfId="8856" xr:uid="{E651DA83-636C-452D-B902-A781103E7190}"/>
    <cellStyle name="Comma 4 7 2" xfId="697" xr:uid="{00000000-0005-0000-0000-00006B0A0000}"/>
    <cellStyle name="Comma 4 7 2 2" xfId="2968" xr:uid="{00000000-0005-0000-0000-00006C0A0000}"/>
    <cellStyle name="Comma 4 7 2 2 2" xfId="7191" xr:uid="{00000000-0005-0000-0000-00006D0A0000}"/>
    <cellStyle name="Comma 4 7 2 2 2 2" xfId="15633" xr:uid="{5426FAA3-A304-474F-B7EE-ABF5063B33A3}"/>
    <cellStyle name="Comma 4 7 2 2 3" xfId="11415" xr:uid="{1EA0AC8B-EC68-4772-977D-FDF5945910EE}"/>
    <cellStyle name="Comma 4 7 2 3" xfId="5046" xr:uid="{00000000-0005-0000-0000-00006E0A0000}"/>
    <cellStyle name="Comma 4 7 2 3 2" xfId="13488" xr:uid="{E9B18049-3721-4059-B5DA-A35B0D1275EC}"/>
    <cellStyle name="Comma 4 7 2 4" xfId="9270" xr:uid="{1B5A0118-8371-41F2-A13E-D92D6B39985B}"/>
    <cellStyle name="Comma 4 7 3" xfId="1150" xr:uid="{00000000-0005-0000-0000-00006F0A0000}"/>
    <cellStyle name="Comma 4 7 3 2" xfId="3381" xr:uid="{00000000-0005-0000-0000-0000700A0000}"/>
    <cellStyle name="Comma 4 7 3 2 2" xfId="7604" xr:uid="{00000000-0005-0000-0000-0000710A0000}"/>
    <cellStyle name="Comma 4 7 3 2 2 2" xfId="16046" xr:uid="{D43CCC11-FCB3-43F1-98EA-D47FBF8D6A89}"/>
    <cellStyle name="Comma 4 7 3 2 3" xfId="11828" xr:uid="{76E31BE1-2C1F-4696-B2A9-F724A487D4A8}"/>
    <cellStyle name="Comma 4 7 3 3" xfId="5459" xr:uid="{00000000-0005-0000-0000-0000720A0000}"/>
    <cellStyle name="Comma 4 7 3 3 2" xfId="13901" xr:uid="{E452AA6E-93C7-47AC-88FD-D450354F7BF6}"/>
    <cellStyle name="Comma 4 7 3 4" xfId="9683" xr:uid="{D253A092-3328-4D8D-9FC1-CCEBACCF2C26}"/>
    <cellStyle name="Comma 4 7 4" xfId="1564" xr:uid="{00000000-0005-0000-0000-0000730A0000}"/>
    <cellStyle name="Comma 4 7 4 2" xfId="3794" xr:uid="{00000000-0005-0000-0000-0000740A0000}"/>
    <cellStyle name="Comma 4 7 4 2 2" xfId="8017" xr:uid="{00000000-0005-0000-0000-0000750A0000}"/>
    <cellStyle name="Comma 4 7 4 2 2 2" xfId="16459" xr:uid="{D10A2CC6-033F-45A5-B4CB-AFC6DC5D5FAC}"/>
    <cellStyle name="Comma 4 7 4 2 3" xfId="12241" xr:uid="{E8BE545C-CC1E-4440-9254-D5D37BAD662A}"/>
    <cellStyle name="Comma 4 7 4 3" xfId="5872" xr:uid="{00000000-0005-0000-0000-0000760A0000}"/>
    <cellStyle name="Comma 4 7 4 3 2" xfId="14314" xr:uid="{ADE70849-6B91-4BE9-8FCF-3335D320C376}"/>
    <cellStyle name="Comma 4 7 4 4" xfId="10096" xr:uid="{B711855A-D056-4768-A8CF-886476EF1F36}"/>
    <cellStyle name="Comma 4 7 5" xfId="1978" xr:uid="{00000000-0005-0000-0000-0000770A0000}"/>
    <cellStyle name="Comma 4 7 5 2" xfId="4207" xr:uid="{00000000-0005-0000-0000-0000780A0000}"/>
    <cellStyle name="Comma 4 7 5 2 2" xfId="8430" xr:uid="{00000000-0005-0000-0000-0000790A0000}"/>
    <cellStyle name="Comma 4 7 5 2 2 2" xfId="16872" xr:uid="{7C20A894-C1F0-49F7-9E9D-931CA3C75462}"/>
    <cellStyle name="Comma 4 7 5 2 3" xfId="12654" xr:uid="{D83EBE17-2BBA-41A2-B413-587FCB27311C}"/>
    <cellStyle name="Comma 4 7 5 3" xfId="6285" xr:uid="{00000000-0005-0000-0000-00007A0A0000}"/>
    <cellStyle name="Comma 4 7 5 3 2" xfId="14727" xr:uid="{4607F8E7-1810-4B37-BB90-268F9D75337C}"/>
    <cellStyle name="Comma 4 7 5 4" xfId="10509" xr:uid="{D333D01E-4931-426E-A218-4D535E3987D4}"/>
    <cellStyle name="Comma 4 7 6" xfId="2413" xr:uid="{00000000-0005-0000-0000-00007B0A0000}"/>
    <cellStyle name="Comma 4 7 6 2" xfId="6698" xr:uid="{00000000-0005-0000-0000-00007C0A0000}"/>
    <cellStyle name="Comma 4 7 6 2 2" xfId="15140" xr:uid="{C7A5CCC4-17CB-4B0C-A7FE-F2B3E83DE7D6}"/>
    <cellStyle name="Comma 4 7 6 3" xfId="10922" xr:uid="{75ACDF7B-5A6B-4D7C-B5E2-5913A83A69E8}"/>
    <cellStyle name="Comma 4 7 7" xfId="2709" xr:uid="{00000000-0005-0000-0000-00007D0A0000}"/>
    <cellStyle name="Comma 4 7 8" xfId="2791" xr:uid="{00000000-0005-0000-0000-00007E0A0000}"/>
    <cellStyle name="Comma 4 7 8 2" xfId="7015" xr:uid="{00000000-0005-0000-0000-00007F0A0000}"/>
    <cellStyle name="Comma 4 7 8 2 2" xfId="15457" xr:uid="{D22518F7-E1B0-4A67-A172-915D90ABC753}"/>
    <cellStyle name="Comma 4 7 8 3" xfId="11239" xr:uid="{47128F45-8BA8-48B9-B243-9DFE4F23486B}"/>
    <cellStyle name="Comma 4 7 9" xfId="4632" xr:uid="{00000000-0005-0000-0000-0000800A0000}"/>
    <cellStyle name="Comma 4 7 9 2" xfId="13074" xr:uid="{1B592C30-B348-45D9-BAD6-CF50E59A95A8}"/>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6AAF4818-0FE7-485F-864C-16020A62E37B}"/>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46223E96-6D0E-4ACF-A8E7-4633594A4613}"/>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87AA3E11-636C-47D6-8CC4-C70F5F0B145D}"/>
    <cellStyle name="Currency 14 3 2 3" xfId="17165" xr:uid="{D0E47BE5-110A-4EB8-B87D-DD780D66522C}"/>
    <cellStyle name="Currency 14 3 3" xfId="17162" xr:uid="{9F81F350-0293-4E00-AAAE-D56150F64147}"/>
    <cellStyle name="Currency 14 4" xfId="12945" xr:uid="{B268D722-16BD-4AF2-B74A-F844FC33A6A9}"/>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B8F11487-32B3-4DDD-914F-5C0291273169}"/>
    <cellStyle name="Currency 3 2 2 10 3" xfId="11240" xr:uid="{0485CC18-5384-4F11-8327-6D0519A05EB2}"/>
    <cellStyle name="Currency 3 2 2 11" xfId="4633" xr:uid="{00000000-0005-0000-0000-0000A50A0000}"/>
    <cellStyle name="Currency 3 2 2 11 2" xfId="13075" xr:uid="{2862D42F-B00D-4600-B14E-82B369FB5815}"/>
    <cellStyle name="Currency 3 2 2 12" xfId="8857" xr:uid="{6EF4B6B9-FDD3-456A-9C67-382A866B3EC1}"/>
    <cellStyle name="Currency 3 2 2 2" xfId="179" xr:uid="{00000000-0005-0000-0000-0000A60A0000}"/>
    <cellStyle name="Currency 3 2 2 2 10" xfId="4634" xr:uid="{00000000-0005-0000-0000-0000A70A0000}"/>
    <cellStyle name="Currency 3 2 2 2 10 2" xfId="13076" xr:uid="{9ADBFC99-2195-40CB-ACD6-7111F1877A45}"/>
    <cellStyle name="Currency 3 2 2 2 11" xfId="8858" xr:uid="{F4840E40-A7D4-4A1A-9135-A22BEDBEB560}"/>
    <cellStyle name="Currency 3 2 2 2 2" xfId="180" xr:uid="{00000000-0005-0000-0000-0000A80A0000}"/>
    <cellStyle name="Currency 3 2 2 2 2 10" xfId="8859" xr:uid="{9F9F8A65-44A2-4950-8DD1-0E34AD834A05}"/>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541E2030-8460-433E-BFAD-601CCD8FC08C}"/>
    <cellStyle name="Currency 3 2 2 2 2 2 2 3" xfId="11418" xr:uid="{1F836F35-0CFC-443E-9C06-DF95ACDEE13A}"/>
    <cellStyle name="Currency 3 2 2 2 2 2 3" xfId="5049" xr:uid="{00000000-0005-0000-0000-0000AC0A0000}"/>
    <cellStyle name="Currency 3 2 2 2 2 2 3 2" xfId="13491" xr:uid="{458C2177-2AF4-4D23-AD88-9E5673CC51FE}"/>
    <cellStyle name="Currency 3 2 2 2 2 2 4" xfId="9273" xr:uid="{7AC8F094-97EC-4CC6-B2A8-106C6D31555D}"/>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587F0BB0-AF4F-4E3B-91C1-2C1F3EBEC8FB}"/>
    <cellStyle name="Currency 3 2 2 2 2 3 2 3" xfId="11831" xr:uid="{F7C61BED-677D-432F-8235-4E07C52C9795}"/>
    <cellStyle name="Currency 3 2 2 2 2 3 3" xfId="5462" xr:uid="{00000000-0005-0000-0000-0000B00A0000}"/>
    <cellStyle name="Currency 3 2 2 2 2 3 3 2" xfId="13904" xr:uid="{0061A827-2747-474A-A944-7DD86621385E}"/>
    <cellStyle name="Currency 3 2 2 2 2 3 4" xfId="9686" xr:uid="{43623D3B-8CC6-4162-A2C8-5B5C142C769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240E6A8B-8792-41CB-856A-168C5FF6D26C}"/>
    <cellStyle name="Currency 3 2 2 2 2 4 2 3" xfId="12244" xr:uid="{0F21B809-7AF0-46A1-A9BC-84D828E0F46A}"/>
    <cellStyle name="Currency 3 2 2 2 2 4 3" xfId="5875" xr:uid="{00000000-0005-0000-0000-0000B40A0000}"/>
    <cellStyle name="Currency 3 2 2 2 2 4 3 2" xfId="14317" xr:uid="{BDFEC292-4E44-4F16-BDCF-DFD93A68E4F5}"/>
    <cellStyle name="Currency 3 2 2 2 2 4 4" xfId="10099" xr:uid="{9A093E5E-10FC-4927-8C57-47A863F95BF3}"/>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B145E8DA-6400-413A-9682-C0C340D536A1}"/>
    <cellStyle name="Currency 3 2 2 2 2 5 2 3" xfId="12657" xr:uid="{BB1C0AD8-16EA-484E-8651-87210311908F}"/>
    <cellStyle name="Currency 3 2 2 2 2 5 3" xfId="6288" xr:uid="{00000000-0005-0000-0000-0000B80A0000}"/>
    <cellStyle name="Currency 3 2 2 2 2 5 3 2" xfId="14730" xr:uid="{A0A7D660-BBC4-46C5-8AB0-C03333B1F33D}"/>
    <cellStyle name="Currency 3 2 2 2 2 5 4" xfId="10512" xr:uid="{77AA97DA-5744-41DD-86C9-9DC97519DA5B}"/>
    <cellStyle name="Currency 3 2 2 2 2 6" xfId="2416" xr:uid="{00000000-0005-0000-0000-0000B90A0000}"/>
    <cellStyle name="Currency 3 2 2 2 2 6 2" xfId="6701" xr:uid="{00000000-0005-0000-0000-0000BA0A0000}"/>
    <cellStyle name="Currency 3 2 2 2 2 6 2 2" xfId="15143" xr:uid="{629B4F6A-446E-4BE5-A49A-31315E06DDBF}"/>
    <cellStyle name="Currency 3 2 2 2 2 6 3" xfId="10925" xr:uid="{38585349-8D61-4745-8BC2-5576AF406EAD}"/>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DA910C51-C4D7-48CF-B9D2-0576963CC902}"/>
    <cellStyle name="Currency 3 2 2 2 2 8 3" xfId="11242" xr:uid="{0D5E14DB-A06D-4A93-AB96-34A3933EF37E}"/>
    <cellStyle name="Currency 3 2 2 2 2 9" xfId="4635" xr:uid="{00000000-0005-0000-0000-0000BE0A0000}"/>
    <cellStyle name="Currency 3 2 2 2 2 9 2" xfId="13077" xr:uid="{842410DE-7801-4809-8299-B66AC72B3AE8}"/>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87743C71-3524-4D72-803C-E88F9EC56143}"/>
    <cellStyle name="Currency 3 2 2 2 3 2 3" xfId="11417" xr:uid="{FB03D88D-6F05-4965-841D-D42EDF30AC7B}"/>
    <cellStyle name="Currency 3 2 2 2 3 3" xfId="5048" xr:uid="{00000000-0005-0000-0000-0000C20A0000}"/>
    <cellStyle name="Currency 3 2 2 2 3 3 2" xfId="13490" xr:uid="{108B35F3-0010-4695-AF4C-1FDF0AAD2BD1}"/>
    <cellStyle name="Currency 3 2 2 2 3 4" xfId="9272" xr:uid="{393A2BBA-273E-4D08-BB56-6E9E2968EE1E}"/>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F1AF3762-F991-4040-992A-32FFD86C8AC9}"/>
    <cellStyle name="Currency 3 2 2 2 4 2 3" xfId="11830" xr:uid="{4469BD18-D6D5-4ACD-8F08-72C1F74B6940}"/>
    <cellStyle name="Currency 3 2 2 2 4 3" xfId="5461" xr:uid="{00000000-0005-0000-0000-0000C60A0000}"/>
    <cellStyle name="Currency 3 2 2 2 4 3 2" xfId="13903" xr:uid="{C409E6C3-636E-41E9-8F18-0BB10642813F}"/>
    <cellStyle name="Currency 3 2 2 2 4 4" xfId="9685" xr:uid="{47297B8D-1937-4847-98FB-85447AB07054}"/>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B8374D8E-18BA-4E02-B8C4-44B1EF274D0A}"/>
    <cellStyle name="Currency 3 2 2 2 5 2 3" xfId="12243" xr:uid="{9E20BAF8-D1DC-495A-944F-04B1C8B53B15}"/>
    <cellStyle name="Currency 3 2 2 2 5 3" xfId="5874" xr:uid="{00000000-0005-0000-0000-0000CA0A0000}"/>
    <cellStyle name="Currency 3 2 2 2 5 3 2" xfId="14316" xr:uid="{1648FFFB-6D7C-48BC-8117-48FE171A54BB}"/>
    <cellStyle name="Currency 3 2 2 2 5 4" xfId="10098" xr:uid="{74AAB0CD-0BE3-42D5-A344-96B4CD524561}"/>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CF253587-D032-4B4A-B34C-CB2AAF89C418}"/>
    <cellStyle name="Currency 3 2 2 2 6 2 3" xfId="12656" xr:uid="{D358900C-809F-434C-B109-A0C7FFDC4C26}"/>
    <cellStyle name="Currency 3 2 2 2 6 3" xfId="6287" xr:uid="{00000000-0005-0000-0000-0000CE0A0000}"/>
    <cellStyle name="Currency 3 2 2 2 6 3 2" xfId="14729" xr:uid="{00D8D4BB-014F-416B-9323-6E639728C172}"/>
    <cellStyle name="Currency 3 2 2 2 6 4" xfId="10511" xr:uid="{725E745E-C6AF-4A73-8C34-36BE72E1D789}"/>
    <cellStyle name="Currency 3 2 2 2 7" xfId="2415" xr:uid="{00000000-0005-0000-0000-0000CF0A0000}"/>
    <cellStyle name="Currency 3 2 2 2 7 2" xfId="6700" xr:uid="{00000000-0005-0000-0000-0000D00A0000}"/>
    <cellStyle name="Currency 3 2 2 2 7 2 2" xfId="15142" xr:uid="{22E00C8F-8299-4C99-8467-C921F0BFA9F0}"/>
    <cellStyle name="Currency 3 2 2 2 7 3" xfId="10924" xr:uid="{F8AD6ECA-565B-45CA-A664-1B9D4B70CABB}"/>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FE671F55-09FB-4D45-BB02-B22636AF0A4B}"/>
    <cellStyle name="Currency 3 2 2 2 9 3" xfId="11241" xr:uid="{B27C9CB1-A7D3-46BF-9BE9-776256F2908B}"/>
    <cellStyle name="Currency 3 2 2 3" xfId="181" xr:uid="{00000000-0005-0000-0000-0000D40A0000}"/>
    <cellStyle name="Currency 3 2 2 3 10" xfId="8860" xr:uid="{212127CD-3849-46DF-A596-5C7803EFFF23}"/>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178F5F4F-019A-4D10-B30B-BA706F3F2EA3}"/>
    <cellStyle name="Currency 3 2 2 3 2 2 3" xfId="11419" xr:uid="{12DD7C1C-371E-48EE-8031-E7ABB49E66E3}"/>
    <cellStyle name="Currency 3 2 2 3 2 3" xfId="5050" xr:uid="{00000000-0005-0000-0000-0000D80A0000}"/>
    <cellStyle name="Currency 3 2 2 3 2 3 2" xfId="13492" xr:uid="{93228D4F-ECA0-4470-841F-2875B9C7A0A1}"/>
    <cellStyle name="Currency 3 2 2 3 2 4" xfId="9274" xr:uid="{9F8EA53E-0410-4E45-8C3F-67B17E92DBC4}"/>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4FDD91AF-1921-4F71-A3A8-877ACADAC367}"/>
    <cellStyle name="Currency 3 2 2 3 3 2 3" xfId="11832" xr:uid="{CDB7F218-4980-4E65-9BF0-B3E413CD8B50}"/>
    <cellStyle name="Currency 3 2 2 3 3 3" xfId="5463" xr:uid="{00000000-0005-0000-0000-0000DC0A0000}"/>
    <cellStyle name="Currency 3 2 2 3 3 3 2" xfId="13905" xr:uid="{92C9FD79-2F6D-4AD7-8474-703EBF157620}"/>
    <cellStyle name="Currency 3 2 2 3 3 4" xfId="9687" xr:uid="{CD9A1233-A001-4812-BF79-4F9A7DE741FE}"/>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FD7435D1-4384-485F-9222-C41F23480310}"/>
    <cellStyle name="Currency 3 2 2 3 4 2 3" xfId="12245" xr:uid="{2D63F8DD-6BF6-4AAF-9B15-CC43C861E7A5}"/>
    <cellStyle name="Currency 3 2 2 3 4 3" xfId="5876" xr:uid="{00000000-0005-0000-0000-0000E00A0000}"/>
    <cellStyle name="Currency 3 2 2 3 4 3 2" xfId="14318" xr:uid="{BFCB437E-8B3A-4498-A6E8-FC4983627AA4}"/>
    <cellStyle name="Currency 3 2 2 3 4 4" xfId="10100" xr:uid="{56BDDD92-743A-4938-81E7-8D295B1953F9}"/>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E37604D4-09A9-4EA7-ADC9-E72C7D0F04E2}"/>
    <cellStyle name="Currency 3 2 2 3 5 2 3" xfId="12658" xr:uid="{CC46049E-D336-405F-9E17-7BB838490984}"/>
    <cellStyle name="Currency 3 2 2 3 5 3" xfId="6289" xr:uid="{00000000-0005-0000-0000-0000E40A0000}"/>
    <cellStyle name="Currency 3 2 2 3 5 3 2" xfId="14731" xr:uid="{D1A7DA75-2CF7-4D4B-899B-32E8AEA12722}"/>
    <cellStyle name="Currency 3 2 2 3 5 4" xfId="10513" xr:uid="{464A418E-D147-4442-920A-0CC0373CDD23}"/>
    <cellStyle name="Currency 3 2 2 3 6" xfId="2417" xr:uid="{00000000-0005-0000-0000-0000E50A0000}"/>
    <cellStyle name="Currency 3 2 2 3 6 2" xfId="6702" xr:uid="{00000000-0005-0000-0000-0000E60A0000}"/>
    <cellStyle name="Currency 3 2 2 3 6 2 2" xfId="15144" xr:uid="{F635DC15-65EF-4369-833A-CA8EBF75B4AF}"/>
    <cellStyle name="Currency 3 2 2 3 6 3" xfId="10926" xr:uid="{6E71162D-E54F-4F8B-9DA5-C7704F4FBF21}"/>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529C169A-A4E2-4BCA-8BF2-3206D278F11F}"/>
    <cellStyle name="Currency 3 2 2 3 8 3" xfId="11243" xr:uid="{5F54AEB3-AC3D-46AD-90F8-04ED01CD32B4}"/>
    <cellStyle name="Currency 3 2 2 3 9" xfId="4636" xr:uid="{00000000-0005-0000-0000-0000EA0A0000}"/>
    <cellStyle name="Currency 3 2 2 3 9 2" xfId="13078" xr:uid="{395C92CB-F4EC-4131-892F-12D677BD0BDB}"/>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35811E04-7953-4825-B2AD-898FE678E813}"/>
    <cellStyle name="Currency 3 2 2 4 2 3" xfId="11416" xr:uid="{45B6BBD5-2BC1-4800-A4AE-1B230EF50B7A}"/>
    <cellStyle name="Currency 3 2 2 4 3" xfId="5047" xr:uid="{00000000-0005-0000-0000-0000EE0A0000}"/>
    <cellStyle name="Currency 3 2 2 4 3 2" xfId="13489" xr:uid="{A21D1B8C-6219-415D-BDB9-9917B2CDFCAE}"/>
    <cellStyle name="Currency 3 2 2 4 4" xfId="9271" xr:uid="{6A025783-97BE-45C7-90A7-4103778B90F7}"/>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E8690E2B-75BB-481F-834A-91C4539B71DE}"/>
    <cellStyle name="Currency 3 2 2 5 2 3" xfId="11829" xr:uid="{75584B96-4BCE-4546-91E0-C67623F47BA3}"/>
    <cellStyle name="Currency 3 2 2 5 3" xfId="5460" xr:uid="{00000000-0005-0000-0000-0000F20A0000}"/>
    <cellStyle name="Currency 3 2 2 5 3 2" xfId="13902" xr:uid="{11E5D357-52CB-4F2D-BFA6-F7C9249042EA}"/>
    <cellStyle name="Currency 3 2 2 5 4" xfId="9684" xr:uid="{17B594B2-423A-436E-8093-45E8D8E3B620}"/>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E742886B-B7B5-4005-A5C7-1D59420E4871}"/>
    <cellStyle name="Currency 3 2 2 6 2 3" xfId="12242" xr:uid="{A9B09DE0-7A08-4A53-8FA0-4CF836D41998}"/>
    <cellStyle name="Currency 3 2 2 6 3" xfId="5873" xr:uid="{00000000-0005-0000-0000-0000F60A0000}"/>
    <cellStyle name="Currency 3 2 2 6 3 2" xfId="14315" xr:uid="{F272175E-2DBB-4BE8-BD5C-D36AE16772F5}"/>
    <cellStyle name="Currency 3 2 2 6 4" xfId="10097" xr:uid="{22EEBF2C-B218-4E01-BB58-B609C7AD89EF}"/>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EA83D207-47EC-4A7C-8903-0E7DF1776E12}"/>
    <cellStyle name="Currency 3 2 2 7 2 3" xfId="12655" xr:uid="{177A980B-0246-425E-BB40-3F183FBE8C47}"/>
    <cellStyle name="Currency 3 2 2 7 3" xfId="6286" xr:uid="{00000000-0005-0000-0000-0000FA0A0000}"/>
    <cellStyle name="Currency 3 2 2 7 3 2" xfId="14728" xr:uid="{932340A1-9598-4C34-8363-03012102946E}"/>
    <cellStyle name="Currency 3 2 2 7 4" xfId="10510" xr:uid="{9F5A5E3E-2693-4EA6-8D13-95E90586C342}"/>
    <cellStyle name="Currency 3 2 2 8" xfId="2414" xr:uid="{00000000-0005-0000-0000-0000FB0A0000}"/>
    <cellStyle name="Currency 3 2 2 8 2" xfId="6699" xr:uid="{00000000-0005-0000-0000-0000FC0A0000}"/>
    <cellStyle name="Currency 3 2 2 8 2 2" xfId="15141" xr:uid="{03A52DED-77E5-45FB-8D1D-9A19E8D5ED81}"/>
    <cellStyle name="Currency 3 2 2 8 3" xfId="10923" xr:uid="{41898124-8DB1-4E64-A12C-46B0DD0EF1AC}"/>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17A2A285-BF34-4BD3-9E16-AFAF455474D8}"/>
    <cellStyle name="Currency 3 2 3 11" xfId="8861" xr:uid="{933BCDDD-2F81-45A2-B93D-C043DB42E800}"/>
    <cellStyle name="Currency 3 2 3 2" xfId="183" xr:uid="{00000000-0005-0000-0000-0000000B0000}"/>
    <cellStyle name="Currency 3 2 3 2 10" xfId="8862" xr:uid="{C7DBEC94-7203-4B15-AA78-FB9B7247983A}"/>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120E6B87-CB81-4CC5-A0F9-169C9774D4DF}"/>
    <cellStyle name="Currency 3 2 3 2 2 2 3" xfId="11421" xr:uid="{4F99884F-3709-4748-85F0-384B001B78F9}"/>
    <cellStyle name="Currency 3 2 3 2 2 3" xfId="5052" xr:uid="{00000000-0005-0000-0000-0000040B0000}"/>
    <cellStyle name="Currency 3 2 3 2 2 3 2" xfId="13494" xr:uid="{535A60FA-3D03-4D61-ABB5-3A36645FA1A1}"/>
    <cellStyle name="Currency 3 2 3 2 2 4" xfId="9276" xr:uid="{458D0E1B-B110-40BC-9609-A74055E708EB}"/>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8F184F0E-A1F5-4959-8485-D4B1930B2C2E}"/>
    <cellStyle name="Currency 3 2 3 2 3 2 3" xfId="11834" xr:uid="{9D6E7267-CC52-4EE8-AC29-D4FFAFC78897}"/>
    <cellStyle name="Currency 3 2 3 2 3 3" xfId="5465" xr:uid="{00000000-0005-0000-0000-0000080B0000}"/>
    <cellStyle name="Currency 3 2 3 2 3 3 2" xfId="13907" xr:uid="{1F9795C9-F6C1-4522-A66A-41DA6C34504B}"/>
    <cellStyle name="Currency 3 2 3 2 3 4" xfId="9689" xr:uid="{2D0D2128-8389-44E0-AC8A-F84E2D5A8B24}"/>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A130BE0E-3AE4-42A8-903B-9321856EF9B5}"/>
    <cellStyle name="Currency 3 2 3 2 4 2 3" xfId="12247" xr:uid="{A5B7B0BA-3D41-4AFB-B977-36EFD38A6D6C}"/>
    <cellStyle name="Currency 3 2 3 2 4 3" xfId="5878" xr:uid="{00000000-0005-0000-0000-00000C0B0000}"/>
    <cellStyle name="Currency 3 2 3 2 4 3 2" xfId="14320" xr:uid="{B82786F6-28DF-4643-BC03-2EC06A4DEECE}"/>
    <cellStyle name="Currency 3 2 3 2 4 4" xfId="10102" xr:uid="{136DF61F-21C8-4A7A-A5D9-A339C4E40705}"/>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C4B39A0D-FB24-4895-A322-45DA81B54364}"/>
    <cellStyle name="Currency 3 2 3 2 5 2 3" xfId="12660" xr:uid="{CAC47E01-68C6-45DD-85C7-0B1A3D519CB3}"/>
    <cellStyle name="Currency 3 2 3 2 5 3" xfId="6291" xr:uid="{00000000-0005-0000-0000-0000100B0000}"/>
    <cellStyle name="Currency 3 2 3 2 5 3 2" xfId="14733" xr:uid="{4A0D10C3-8D6A-4AF7-96EB-08DC92BBADB9}"/>
    <cellStyle name="Currency 3 2 3 2 5 4" xfId="10515" xr:uid="{60FE18D3-863C-4F17-9E35-EC2865AE8F4B}"/>
    <cellStyle name="Currency 3 2 3 2 6" xfId="2419" xr:uid="{00000000-0005-0000-0000-0000110B0000}"/>
    <cellStyle name="Currency 3 2 3 2 6 2" xfId="6704" xr:uid="{00000000-0005-0000-0000-0000120B0000}"/>
    <cellStyle name="Currency 3 2 3 2 6 2 2" xfId="15146" xr:uid="{E8DBEB8B-28E8-428D-809A-F7F32DC1DD00}"/>
    <cellStyle name="Currency 3 2 3 2 6 3" xfId="10928" xr:uid="{D3BAF366-ABFC-4D11-AAC6-89C5840006CF}"/>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AFA6AF1E-07F0-4F2E-9EF5-81B271F6626E}"/>
    <cellStyle name="Currency 3 2 3 2 8 3" xfId="11245" xr:uid="{D5EDE193-5577-4420-BDA8-97DD16187532}"/>
    <cellStyle name="Currency 3 2 3 2 9" xfId="4638" xr:uid="{00000000-0005-0000-0000-0000160B0000}"/>
    <cellStyle name="Currency 3 2 3 2 9 2" xfId="13080" xr:uid="{E0E154E3-8BB3-42B5-BA22-4011665E880D}"/>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512D2807-BFF7-4288-BDFE-B52D47A6B066}"/>
    <cellStyle name="Currency 3 2 3 3 2 3" xfId="11420" xr:uid="{64FC3BBF-A04D-4989-933F-F0B02D2D7119}"/>
    <cellStyle name="Currency 3 2 3 3 3" xfId="5051" xr:uid="{00000000-0005-0000-0000-00001A0B0000}"/>
    <cellStyle name="Currency 3 2 3 3 3 2" xfId="13493" xr:uid="{E4145653-96DA-4079-9106-AF89C9FDD376}"/>
    <cellStyle name="Currency 3 2 3 3 4" xfId="9275" xr:uid="{803DE74E-74CB-4C0F-9F65-E4A178A8E9D1}"/>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C02EE109-BBDD-44BC-9395-01B05035F302}"/>
    <cellStyle name="Currency 3 2 3 4 2 3" xfId="11833" xr:uid="{869AB052-11F4-462D-96E2-6D9048E415B9}"/>
    <cellStyle name="Currency 3 2 3 4 3" xfId="5464" xr:uid="{00000000-0005-0000-0000-00001E0B0000}"/>
    <cellStyle name="Currency 3 2 3 4 3 2" xfId="13906" xr:uid="{FEE36F70-49D5-4548-AE0F-6666F72B0CAB}"/>
    <cellStyle name="Currency 3 2 3 4 4" xfId="9688" xr:uid="{40FF1F92-8AAB-45E4-A666-14A0CE6F8021}"/>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88363005-FC86-4777-B92F-B245FA12F9B1}"/>
    <cellStyle name="Currency 3 2 3 5 2 3" xfId="12246" xr:uid="{EE18AF93-2A1B-4337-9D6C-43BB19B54BA2}"/>
    <cellStyle name="Currency 3 2 3 5 3" xfId="5877" xr:uid="{00000000-0005-0000-0000-0000220B0000}"/>
    <cellStyle name="Currency 3 2 3 5 3 2" xfId="14319" xr:uid="{37A0B79A-BA1F-484D-9DB4-4BCBC1BBA4F2}"/>
    <cellStyle name="Currency 3 2 3 5 4" xfId="10101" xr:uid="{B5BD50C0-96C5-4AFA-A027-01F7C0A62D14}"/>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DC077527-3A33-4A46-83B8-1CBD5AF4949E}"/>
    <cellStyle name="Currency 3 2 3 6 2 3" xfId="12659" xr:uid="{6C71412D-4105-406D-B46D-D3243ADDE5D0}"/>
    <cellStyle name="Currency 3 2 3 6 3" xfId="6290" xr:uid="{00000000-0005-0000-0000-0000260B0000}"/>
    <cellStyle name="Currency 3 2 3 6 3 2" xfId="14732" xr:uid="{4225B8A2-CEA6-4912-B12C-BCB4087BFF52}"/>
    <cellStyle name="Currency 3 2 3 6 4" xfId="10514" xr:uid="{C63AEE89-BBD3-4301-9ABB-A7F652350562}"/>
    <cellStyle name="Currency 3 2 3 7" xfId="2418" xr:uid="{00000000-0005-0000-0000-0000270B0000}"/>
    <cellStyle name="Currency 3 2 3 7 2" xfId="6703" xr:uid="{00000000-0005-0000-0000-0000280B0000}"/>
    <cellStyle name="Currency 3 2 3 7 2 2" xfId="15145" xr:uid="{2AC7E841-83EA-4652-B885-8BC0BE20E457}"/>
    <cellStyle name="Currency 3 2 3 7 3" xfId="10927" xr:uid="{0A6245F2-C77D-43CF-A0D6-C28722D7E160}"/>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5B60ADBC-C85C-4695-B3E5-190674F72C3F}"/>
    <cellStyle name="Currency 3 2 3 9 3" xfId="11244" xr:uid="{99718B01-E7FA-4C82-8E15-393624F0832D}"/>
    <cellStyle name="Currency 3 2 4" xfId="184" xr:uid="{00000000-0005-0000-0000-00002C0B0000}"/>
    <cellStyle name="Currency 3 2 4 10" xfId="8863" xr:uid="{2D94F6FD-F70B-45A6-B60F-C6A724BC6523}"/>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664B3E7A-8686-4200-9847-C9BA52634A81}"/>
    <cellStyle name="Currency 3 2 4 2 2 3" xfId="11422" xr:uid="{838281B9-73AC-4DF3-A63B-1E92A02058F6}"/>
    <cellStyle name="Currency 3 2 4 2 3" xfId="5053" xr:uid="{00000000-0005-0000-0000-0000300B0000}"/>
    <cellStyle name="Currency 3 2 4 2 3 2" xfId="13495" xr:uid="{6BE8D9D3-25E3-4D90-BAB4-A978EDB3D3EE}"/>
    <cellStyle name="Currency 3 2 4 2 4" xfId="9277" xr:uid="{8520711E-D75D-464D-BEAC-E23E8D893FC5}"/>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5AAACCCF-06E6-4B88-A00E-DD44F9F872D1}"/>
    <cellStyle name="Currency 3 2 4 3 2 3" xfId="11835" xr:uid="{F75DC1AE-4EFD-4EF6-8439-2800AECBB9CD}"/>
    <cellStyle name="Currency 3 2 4 3 3" xfId="5466" xr:uid="{00000000-0005-0000-0000-0000340B0000}"/>
    <cellStyle name="Currency 3 2 4 3 3 2" xfId="13908" xr:uid="{032E553B-60A1-4347-9C50-AF9418BA5B77}"/>
    <cellStyle name="Currency 3 2 4 3 4" xfId="9690" xr:uid="{F14CAD95-01AC-418A-86AF-98E5B1281986}"/>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FB3678CF-4199-435B-B27D-E36AC313D7E0}"/>
    <cellStyle name="Currency 3 2 4 4 2 3" xfId="12248" xr:uid="{9755053B-26F6-4696-B0CE-57669871538C}"/>
    <cellStyle name="Currency 3 2 4 4 3" xfId="5879" xr:uid="{00000000-0005-0000-0000-0000380B0000}"/>
    <cellStyle name="Currency 3 2 4 4 3 2" xfId="14321" xr:uid="{41C173CD-C1B6-4181-A3A1-04EBDB9F3132}"/>
    <cellStyle name="Currency 3 2 4 4 4" xfId="10103" xr:uid="{55BB8767-F184-4512-B76A-52F53F3D4C4D}"/>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4344AD6C-B69E-4EBE-BADC-D0C52EA2E9E4}"/>
    <cellStyle name="Currency 3 2 4 5 2 3" xfId="12661" xr:uid="{1352738C-C1E5-4CB8-AD80-3F7F579E5BEA}"/>
    <cellStyle name="Currency 3 2 4 5 3" xfId="6292" xr:uid="{00000000-0005-0000-0000-00003C0B0000}"/>
    <cellStyle name="Currency 3 2 4 5 3 2" xfId="14734" xr:uid="{7CBCCFC9-02EF-4AA5-8C18-036805DB4D34}"/>
    <cellStyle name="Currency 3 2 4 5 4" xfId="10516" xr:uid="{2A300FB9-58A9-46C6-B02D-BF7ED701FB9B}"/>
    <cellStyle name="Currency 3 2 4 6" xfId="2420" xr:uid="{00000000-0005-0000-0000-00003D0B0000}"/>
    <cellStyle name="Currency 3 2 4 6 2" xfId="6705" xr:uid="{00000000-0005-0000-0000-00003E0B0000}"/>
    <cellStyle name="Currency 3 2 4 6 2 2" xfId="15147" xr:uid="{BF332E7A-FB52-4717-A657-7DF26B6464F4}"/>
    <cellStyle name="Currency 3 2 4 6 3" xfId="10929" xr:uid="{73F710FF-DDCA-4C62-9C37-42E9446F36CA}"/>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2E8009CE-3812-4B36-B288-34F02AACDAF4}"/>
    <cellStyle name="Currency 3 2 4 8 3" xfId="11246" xr:uid="{CE52F479-2B14-49EA-B8B9-95F80FFA4AA2}"/>
    <cellStyle name="Currency 3 2 4 9" xfId="4639" xr:uid="{00000000-0005-0000-0000-0000420B0000}"/>
    <cellStyle name="Currency 3 2 4 9 2" xfId="13081" xr:uid="{0D3A69A2-5A32-4D3C-8810-5BD2D7CC4D61}"/>
    <cellStyle name="Currency 3 2 5" xfId="185" xr:uid="{00000000-0005-0000-0000-0000430B0000}"/>
    <cellStyle name="Currency 3 2 5 10" xfId="8864" xr:uid="{DB9E697D-F9DF-48CF-8E9A-F739499F8B39}"/>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A925405F-2A83-462A-B537-489E892C1010}"/>
    <cellStyle name="Currency 3 2 5 2 2 3" xfId="11423" xr:uid="{8C22DDC0-47BC-471B-8EF2-0C7275F96A90}"/>
    <cellStyle name="Currency 3 2 5 2 3" xfId="5054" xr:uid="{00000000-0005-0000-0000-0000470B0000}"/>
    <cellStyle name="Currency 3 2 5 2 3 2" xfId="13496" xr:uid="{216C704F-2D4F-4B76-BA85-0FAE4A109070}"/>
    <cellStyle name="Currency 3 2 5 2 4" xfId="9278" xr:uid="{E3992E09-2B52-4B12-B710-EB1B5C96E0FB}"/>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E209B06A-E523-49B3-AD5C-50249B976BCA}"/>
    <cellStyle name="Currency 3 2 5 3 2 3" xfId="11836" xr:uid="{020954F8-2387-41B1-B8FD-CB1CF4077D56}"/>
    <cellStyle name="Currency 3 2 5 3 3" xfId="5467" xr:uid="{00000000-0005-0000-0000-00004B0B0000}"/>
    <cellStyle name="Currency 3 2 5 3 3 2" xfId="13909" xr:uid="{A6DF99A5-C79A-4AC6-8731-ECE84B4C07C5}"/>
    <cellStyle name="Currency 3 2 5 3 4" xfId="9691" xr:uid="{A0DBC005-A4B1-4CE5-914A-005EB4EFEF78}"/>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FB2EA0B7-9F4F-49CD-BC47-3FE9A0494C33}"/>
    <cellStyle name="Currency 3 2 5 4 2 3" xfId="12249" xr:uid="{68F6321C-16AE-4C92-9885-23126B6EE505}"/>
    <cellStyle name="Currency 3 2 5 4 3" xfId="5880" xr:uid="{00000000-0005-0000-0000-00004F0B0000}"/>
    <cellStyle name="Currency 3 2 5 4 3 2" xfId="14322" xr:uid="{99034AF8-0704-4063-929D-1B1DE473C4D2}"/>
    <cellStyle name="Currency 3 2 5 4 4" xfId="10104" xr:uid="{11994BB9-EB0C-450A-98B8-E3DC84C867EB}"/>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5B632316-28D4-4FCE-AA08-DEAEAF186F28}"/>
    <cellStyle name="Currency 3 2 5 5 2 3" xfId="12662" xr:uid="{AE2D2BB6-39C2-4210-B9AF-D7C180CC9EAB}"/>
    <cellStyle name="Currency 3 2 5 5 3" xfId="6293" xr:uid="{00000000-0005-0000-0000-0000530B0000}"/>
    <cellStyle name="Currency 3 2 5 5 3 2" xfId="14735" xr:uid="{28595AE2-92E1-4E17-8414-0D6B170705BF}"/>
    <cellStyle name="Currency 3 2 5 5 4" xfId="10517" xr:uid="{12F6F77D-D5D1-48A7-8371-CDFEFD5B8EE3}"/>
    <cellStyle name="Currency 3 2 5 6" xfId="2421" xr:uid="{00000000-0005-0000-0000-0000540B0000}"/>
    <cellStyle name="Currency 3 2 5 6 2" xfId="6706" xr:uid="{00000000-0005-0000-0000-0000550B0000}"/>
    <cellStyle name="Currency 3 2 5 6 2 2" xfId="15148" xr:uid="{E90D6809-9F54-43D2-8FB6-01ADD57C3547}"/>
    <cellStyle name="Currency 3 2 5 6 3" xfId="10930" xr:uid="{042B8BCE-7439-40AE-9385-9CE4B567A852}"/>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9222E4B9-7B5A-4717-B3A0-6D3B66007BCA}"/>
    <cellStyle name="Currency 3 2 5 8 3" xfId="11247" xr:uid="{0FC55846-F471-4306-900F-B0D041BAC77F}"/>
    <cellStyle name="Currency 3 2 5 9" xfId="4640" xr:uid="{00000000-0005-0000-0000-0000590B0000}"/>
    <cellStyle name="Currency 3 2 5 9 2" xfId="13082" xr:uid="{770C45F3-8B52-40F5-836F-1111F63170B9}"/>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40C260D2-5ECB-46D0-B0BC-B64F5771023E}"/>
    <cellStyle name="Currency 5 2 2 2 10 3" xfId="11248" xr:uid="{8E33D824-3C68-407D-9357-E106D35F4B20}"/>
    <cellStyle name="Currency 5 2 2 2 11" xfId="4641" xr:uid="{00000000-0005-0000-0000-00006C0B0000}"/>
    <cellStyle name="Currency 5 2 2 2 11 2" xfId="13083" xr:uid="{59DC0253-83EA-4167-8735-820A55A445EE}"/>
    <cellStyle name="Currency 5 2 2 2 12" xfId="8865" xr:uid="{800035E9-2EE2-42C1-89A0-DD4A56835F6F}"/>
    <cellStyle name="Currency 5 2 2 2 2" xfId="197" xr:uid="{00000000-0005-0000-0000-00006D0B0000}"/>
    <cellStyle name="Currency 5 2 2 2 2 10" xfId="4642" xr:uid="{00000000-0005-0000-0000-00006E0B0000}"/>
    <cellStyle name="Currency 5 2 2 2 2 10 2" xfId="13084" xr:uid="{0DFD011C-2E07-4A56-BBA3-F7C9159C899E}"/>
    <cellStyle name="Currency 5 2 2 2 2 11" xfId="8866" xr:uid="{C341AB52-83AD-48BF-9BF3-ACCB557D63E8}"/>
    <cellStyle name="Currency 5 2 2 2 2 2" xfId="198" xr:uid="{00000000-0005-0000-0000-00006F0B0000}"/>
    <cellStyle name="Currency 5 2 2 2 2 2 10" xfId="8867" xr:uid="{0A509925-86F1-4320-8A0F-36C94F8D14EF}"/>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6B7D3DE2-E1DC-4285-A5DC-A02D4477D721}"/>
    <cellStyle name="Currency 5 2 2 2 2 2 2 2 3" xfId="11426" xr:uid="{685D5B85-08B8-4AD1-8D4F-3813D53D6D3B}"/>
    <cellStyle name="Currency 5 2 2 2 2 2 2 3" xfId="5057" xr:uid="{00000000-0005-0000-0000-0000730B0000}"/>
    <cellStyle name="Currency 5 2 2 2 2 2 2 3 2" xfId="13499" xr:uid="{0BB28C4F-3CBA-4FD0-A5EE-DB72466ADAFC}"/>
    <cellStyle name="Currency 5 2 2 2 2 2 2 4" xfId="9281" xr:uid="{A904E506-A625-4DFD-A2DB-BC7D3A6885B8}"/>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04477DA3-3451-408C-90D3-89D870594484}"/>
    <cellStyle name="Currency 5 2 2 2 2 2 3 2 3" xfId="11839" xr:uid="{DCF84AE1-7CE9-4C18-B516-8EFED7A428B6}"/>
    <cellStyle name="Currency 5 2 2 2 2 2 3 3" xfId="5470" xr:uid="{00000000-0005-0000-0000-0000770B0000}"/>
    <cellStyle name="Currency 5 2 2 2 2 2 3 3 2" xfId="13912" xr:uid="{9668E97E-6DD2-4F50-B102-07483B535612}"/>
    <cellStyle name="Currency 5 2 2 2 2 2 3 4" xfId="9694" xr:uid="{D67113ED-D9F2-4C9B-8A15-4AC66DF6EAC6}"/>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7ADCFF2F-8274-4E42-B155-131D5774403A}"/>
    <cellStyle name="Currency 5 2 2 2 2 2 4 2 3" xfId="12252" xr:uid="{61C26A5B-57CE-4C0A-9953-B25337977726}"/>
    <cellStyle name="Currency 5 2 2 2 2 2 4 3" xfId="5883" xr:uid="{00000000-0005-0000-0000-00007B0B0000}"/>
    <cellStyle name="Currency 5 2 2 2 2 2 4 3 2" xfId="14325" xr:uid="{118A33D8-9CF3-417B-9769-2E0C7B4E0D32}"/>
    <cellStyle name="Currency 5 2 2 2 2 2 4 4" xfId="10107" xr:uid="{A5955115-BEAF-4FED-B88B-B2C6EFACA9E2}"/>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5EA076A2-C4F8-4498-AFA4-2EB3E36AA689}"/>
    <cellStyle name="Currency 5 2 2 2 2 2 5 2 3" xfId="12665" xr:uid="{777B1C9A-9FDE-476E-A0D4-7C0D284F8ACA}"/>
    <cellStyle name="Currency 5 2 2 2 2 2 5 3" xfId="6296" xr:uid="{00000000-0005-0000-0000-00007F0B0000}"/>
    <cellStyle name="Currency 5 2 2 2 2 2 5 3 2" xfId="14738" xr:uid="{AB5B9151-04D0-46FC-AE7E-0AEB1934FD4D}"/>
    <cellStyle name="Currency 5 2 2 2 2 2 5 4" xfId="10520" xr:uid="{FBA64A3B-85E8-4635-A3E9-F73999D02AB0}"/>
    <cellStyle name="Currency 5 2 2 2 2 2 6" xfId="2424" xr:uid="{00000000-0005-0000-0000-0000800B0000}"/>
    <cellStyle name="Currency 5 2 2 2 2 2 6 2" xfId="6709" xr:uid="{00000000-0005-0000-0000-0000810B0000}"/>
    <cellStyle name="Currency 5 2 2 2 2 2 6 2 2" xfId="15151" xr:uid="{ADBA862F-D63A-4F78-A7A7-7F7A076DC687}"/>
    <cellStyle name="Currency 5 2 2 2 2 2 6 3" xfId="10933" xr:uid="{DFEF12D0-CF44-4692-8368-9D6B0BF5AAAC}"/>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3CB7A75F-79A5-4A73-9A4B-1A6F9BAC485A}"/>
    <cellStyle name="Currency 5 2 2 2 2 2 8 3" xfId="11250" xr:uid="{445B173B-8B61-4066-ADAB-85DA2079410A}"/>
    <cellStyle name="Currency 5 2 2 2 2 2 9" xfId="4643" xr:uid="{00000000-0005-0000-0000-0000850B0000}"/>
    <cellStyle name="Currency 5 2 2 2 2 2 9 2" xfId="13085" xr:uid="{9C3BD2AD-A6E2-4A4F-9D7C-8AD09408D79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C8E7F0E3-4585-48DF-8FD2-F74CF8CFC061}"/>
    <cellStyle name="Currency 5 2 2 2 2 3 2 3" xfId="11425" xr:uid="{D1BA2BFE-A8F3-496C-8362-A22DD21114D5}"/>
    <cellStyle name="Currency 5 2 2 2 2 3 3" xfId="5056" xr:uid="{00000000-0005-0000-0000-0000890B0000}"/>
    <cellStyle name="Currency 5 2 2 2 2 3 3 2" xfId="13498" xr:uid="{D2F94F7A-B695-4E53-8DAF-A20DED3F45A3}"/>
    <cellStyle name="Currency 5 2 2 2 2 3 4" xfId="9280" xr:uid="{181F4289-937F-4A89-A3F5-9C6953317AA4}"/>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F0A78B6B-FC0A-4DF8-8068-2099829AE25C}"/>
    <cellStyle name="Currency 5 2 2 2 2 4 2 3" xfId="11838" xr:uid="{C1DA9ADC-41B5-4C07-A117-FAA23948654C}"/>
    <cellStyle name="Currency 5 2 2 2 2 4 3" xfId="5469" xr:uid="{00000000-0005-0000-0000-00008D0B0000}"/>
    <cellStyle name="Currency 5 2 2 2 2 4 3 2" xfId="13911" xr:uid="{556CC1A3-EB98-42D8-A4EB-4C1701F2445C}"/>
    <cellStyle name="Currency 5 2 2 2 2 4 4" xfId="9693" xr:uid="{5B644A11-AE88-4560-90A3-F64FC14E4037}"/>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E77A18A6-E35B-4EB7-AC0E-8A5B211B8FE3}"/>
    <cellStyle name="Currency 5 2 2 2 2 5 2 3" xfId="12251" xr:uid="{36A52CCD-3D75-4BCF-95DD-4F90C7774FF2}"/>
    <cellStyle name="Currency 5 2 2 2 2 5 3" xfId="5882" xr:uid="{00000000-0005-0000-0000-0000910B0000}"/>
    <cellStyle name="Currency 5 2 2 2 2 5 3 2" xfId="14324" xr:uid="{0C23CA9A-E1C7-485F-9A86-BA00BEC6859B}"/>
    <cellStyle name="Currency 5 2 2 2 2 5 4" xfId="10106" xr:uid="{C80B7693-AE6E-47B8-9ACC-9BE776FD25A9}"/>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E8205ABE-A7C0-4083-99D7-7A42EC7964B0}"/>
    <cellStyle name="Currency 5 2 2 2 2 6 2 3" xfId="12664" xr:uid="{0A701B87-C01A-4D41-84E7-4FA1D81241BE}"/>
    <cellStyle name="Currency 5 2 2 2 2 6 3" xfId="6295" xr:uid="{00000000-0005-0000-0000-0000950B0000}"/>
    <cellStyle name="Currency 5 2 2 2 2 6 3 2" xfId="14737" xr:uid="{5E776780-4A2B-42BF-BD84-347939199132}"/>
    <cellStyle name="Currency 5 2 2 2 2 6 4" xfId="10519" xr:uid="{EB6231BD-0FF4-4F38-8404-05CAE96E687D}"/>
    <cellStyle name="Currency 5 2 2 2 2 7" xfId="2423" xr:uid="{00000000-0005-0000-0000-0000960B0000}"/>
    <cellStyle name="Currency 5 2 2 2 2 7 2" xfId="6708" xr:uid="{00000000-0005-0000-0000-0000970B0000}"/>
    <cellStyle name="Currency 5 2 2 2 2 7 2 2" xfId="15150" xr:uid="{858E017E-2E16-442B-AE4D-E07F0EA21287}"/>
    <cellStyle name="Currency 5 2 2 2 2 7 3" xfId="10932" xr:uid="{B4DC1DE2-A027-4534-BADB-25F354AB3BD9}"/>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E8174026-0DA9-4D24-881F-7A142BDD456D}"/>
    <cellStyle name="Currency 5 2 2 2 2 9 3" xfId="11249" xr:uid="{E3BB989A-00DE-4093-8688-27BF0E392181}"/>
    <cellStyle name="Currency 5 2 2 2 3" xfId="199" xr:uid="{00000000-0005-0000-0000-00009B0B0000}"/>
    <cellStyle name="Currency 5 2 2 2 3 10" xfId="8868" xr:uid="{CA566583-2F27-4ACB-A9D5-8B05F62936EF}"/>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41D8D261-8463-4318-93B4-C419903199AB}"/>
    <cellStyle name="Currency 5 2 2 2 3 2 2 3" xfId="11427" xr:uid="{A7B296E4-355A-4361-A523-ACC381B0559F}"/>
    <cellStyle name="Currency 5 2 2 2 3 2 3" xfId="5058" xr:uid="{00000000-0005-0000-0000-00009F0B0000}"/>
    <cellStyle name="Currency 5 2 2 2 3 2 3 2" xfId="13500" xr:uid="{2F62CDB6-B569-458B-878A-CBDC6AD0F0E4}"/>
    <cellStyle name="Currency 5 2 2 2 3 2 4" xfId="9282" xr:uid="{069BB8F3-4D41-41FA-A9AD-3D588EF88D18}"/>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5DCE908D-DC50-45B3-BBF6-096864CA0FF7}"/>
    <cellStyle name="Currency 5 2 2 2 3 3 2 3" xfId="11840" xr:uid="{D8E4B65E-11A2-4A8F-A21D-59D7D580FD42}"/>
    <cellStyle name="Currency 5 2 2 2 3 3 3" xfId="5471" xr:uid="{00000000-0005-0000-0000-0000A30B0000}"/>
    <cellStyle name="Currency 5 2 2 2 3 3 3 2" xfId="13913" xr:uid="{46D97744-3744-4A9C-A48E-08248E1B7410}"/>
    <cellStyle name="Currency 5 2 2 2 3 3 4" xfId="9695" xr:uid="{15345E97-6399-482E-8037-FDD8EC7CF8D8}"/>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128441E8-7ED4-41FD-85ED-B6DF2567B3B3}"/>
    <cellStyle name="Currency 5 2 2 2 3 4 2 3" xfId="12253" xr:uid="{F2F5D2D2-F1B0-4B92-B75C-892B7A8DF376}"/>
    <cellStyle name="Currency 5 2 2 2 3 4 3" xfId="5884" xr:uid="{00000000-0005-0000-0000-0000A70B0000}"/>
    <cellStyle name="Currency 5 2 2 2 3 4 3 2" xfId="14326" xr:uid="{E22D046A-79A1-4474-9A58-D2B5D8477F38}"/>
    <cellStyle name="Currency 5 2 2 2 3 4 4" xfId="10108" xr:uid="{8BDDB288-4C79-49FF-8268-5114C612B163}"/>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299329F5-CE43-424D-A51B-ABE0F30C8285}"/>
    <cellStyle name="Currency 5 2 2 2 3 5 2 3" xfId="12666" xr:uid="{988EB006-0F61-4C8A-B643-CD6D37255A58}"/>
    <cellStyle name="Currency 5 2 2 2 3 5 3" xfId="6297" xr:uid="{00000000-0005-0000-0000-0000AB0B0000}"/>
    <cellStyle name="Currency 5 2 2 2 3 5 3 2" xfId="14739" xr:uid="{47C62F71-82C5-404E-A828-75E445852E57}"/>
    <cellStyle name="Currency 5 2 2 2 3 5 4" xfId="10521" xr:uid="{14E69972-6B32-4FF8-AE01-E4F0EB3E279C}"/>
    <cellStyle name="Currency 5 2 2 2 3 6" xfId="2425" xr:uid="{00000000-0005-0000-0000-0000AC0B0000}"/>
    <cellStyle name="Currency 5 2 2 2 3 6 2" xfId="6710" xr:uid="{00000000-0005-0000-0000-0000AD0B0000}"/>
    <cellStyle name="Currency 5 2 2 2 3 6 2 2" xfId="15152" xr:uid="{9D1AFC76-1F4E-48D6-A9FA-3E734108A215}"/>
    <cellStyle name="Currency 5 2 2 2 3 6 3" xfId="10934" xr:uid="{C7AB9FB5-0079-47A6-9ACF-AEBA586B53BC}"/>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615CED9B-1150-42EB-98E0-76B7C64AF83A}"/>
    <cellStyle name="Currency 5 2 2 2 3 8 3" xfId="11251" xr:uid="{7775FDC1-43A2-4B73-BCBB-B788925A41BC}"/>
    <cellStyle name="Currency 5 2 2 2 3 9" xfId="4644" xr:uid="{00000000-0005-0000-0000-0000B10B0000}"/>
    <cellStyle name="Currency 5 2 2 2 3 9 2" xfId="13086" xr:uid="{F5C637B7-A737-4080-B57E-0DCABAB739F2}"/>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B6F1C90D-CB74-4549-A496-12D092808F6B}"/>
    <cellStyle name="Currency 5 2 2 2 4 2 3" xfId="11424" xr:uid="{2E0FB7CE-F0FB-496A-89DB-24B59E54272E}"/>
    <cellStyle name="Currency 5 2 2 2 4 3" xfId="5055" xr:uid="{00000000-0005-0000-0000-0000B50B0000}"/>
    <cellStyle name="Currency 5 2 2 2 4 3 2" xfId="13497" xr:uid="{2A3ECDE7-F60E-4304-824E-CBD8FFD15F9A}"/>
    <cellStyle name="Currency 5 2 2 2 4 4" xfId="9279" xr:uid="{CC90ACA1-005C-4B08-BB7E-7A4F009170F5}"/>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F2BB98B2-C2A7-4EFA-9E47-9AE342974FCB}"/>
    <cellStyle name="Currency 5 2 2 2 5 2 3" xfId="11837" xr:uid="{46478CDF-A776-4F17-8E6F-0CC00049943D}"/>
    <cellStyle name="Currency 5 2 2 2 5 3" xfId="5468" xr:uid="{00000000-0005-0000-0000-0000B90B0000}"/>
    <cellStyle name="Currency 5 2 2 2 5 3 2" xfId="13910" xr:uid="{6CAFC873-9A70-4192-82D5-0B206074DE6F}"/>
    <cellStyle name="Currency 5 2 2 2 5 4" xfId="9692" xr:uid="{88437A96-A855-4EA6-ACC3-98ADC3BFB09C}"/>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2F15736A-596F-4FA8-AC7D-FD3B15CE4AD7}"/>
    <cellStyle name="Currency 5 2 2 2 6 2 3" xfId="12250" xr:uid="{476D0D0E-51A7-4534-9F7C-899201DD57B8}"/>
    <cellStyle name="Currency 5 2 2 2 6 3" xfId="5881" xr:uid="{00000000-0005-0000-0000-0000BD0B0000}"/>
    <cellStyle name="Currency 5 2 2 2 6 3 2" xfId="14323" xr:uid="{BEEBFA42-C722-436E-909A-7F9392654CE2}"/>
    <cellStyle name="Currency 5 2 2 2 6 4" xfId="10105" xr:uid="{CED7128F-269A-484D-86DA-0CDE031A8A6D}"/>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4E34130C-14AF-4A60-9070-A00F8FF8EC3B}"/>
    <cellStyle name="Currency 5 2 2 2 7 2 3" xfId="12663" xr:uid="{E9CEB9DF-D6DD-4C9E-9445-820D4D1D60B3}"/>
    <cellStyle name="Currency 5 2 2 2 7 3" xfId="6294" xr:uid="{00000000-0005-0000-0000-0000C10B0000}"/>
    <cellStyle name="Currency 5 2 2 2 7 3 2" xfId="14736" xr:uid="{1E748FE8-5644-49B1-913E-B3C2B8A020B9}"/>
    <cellStyle name="Currency 5 2 2 2 7 4" xfId="10518" xr:uid="{242F6F98-AFEF-4950-BA10-F337D5AFEF0C}"/>
    <cellStyle name="Currency 5 2 2 2 8" xfId="2422" xr:uid="{00000000-0005-0000-0000-0000C20B0000}"/>
    <cellStyle name="Currency 5 2 2 2 8 2" xfId="6707" xr:uid="{00000000-0005-0000-0000-0000C30B0000}"/>
    <cellStyle name="Currency 5 2 2 2 8 2 2" xfId="15149" xr:uid="{2E71D5E3-EA6A-42D0-B239-D276C067AA70}"/>
    <cellStyle name="Currency 5 2 2 2 8 3" xfId="10931" xr:uid="{B7846F77-BDC3-41F8-9CA1-7E4DCBD7AF9F}"/>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0142F79E-DD62-4DA8-872F-0CCB9A11194C}"/>
    <cellStyle name="Currency 5 2 2 3 11" xfId="8869" xr:uid="{820101BB-A748-416F-8356-DBF980600E32}"/>
    <cellStyle name="Currency 5 2 2 3 2" xfId="201" xr:uid="{00000000-0005-0000-0000-0000C70B0000}"/>
    <cellStyle name="Currency 5 2 2 3 2 10" xfId="8870" xr:uid="{0BB6B0D4-21D0-40D1-B39A-51859892522A}"/>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A1ECB627-0FB3-4F59-B2DB-365164149A0A}"/>
    <cellStyle name="Currency 5 2 2 3 2 2 2 3" xfId="11429" xr:uid="{D6BA9784-21CC-4630-8E26-FDE770BE615C}"/>
    <cellStyle name="Currency 5 2 2 3 2 2 3" xfId="5060" xr:uid="{00000000-0005-0000-0000-0000CB0B0000}"/>
    <cellStyle name="Currency 5 2 2 3 2 2 3 2" xfId="13502" xr:uid="{E580C90A-00EB-4F04-80D1-033B4765B6C5}"/>
    <cellStyle name="Currency 5 2 2 3 2 2 4" xfId="9284" xr:uid="{5FF20FD9-C39E-421E-968A-D2B2C02720CD}"/>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2796F2AC-9C36-4926-B1E2-CF4E6CF96B9D}"/>
    <cellStyle name="Currency 5 2 2 3 2 3 2 3" xfId="11842" xr:uid="{EB099F8D-51E6-472E-B140-AD6847693C9C}"/>
    <cellStyle name="Currency 5 2 2 3 2 3 3" xfId="5473" xr:uid="{00000000-0005-0000-0000-0000CF0B0000}"/>
    <cellStyle name="Currency 5 2 2 3 2 3 3 2" xfId="13915" xr:uid="{9788B369-B40E-42E6-9DF2-8553ED76B726}"/>
    <cellStyle name="Currency 5 2 2 3 2 3 4" xfId="9697" xr:uid="{60DBCC5C-5102-4157-B501-343C9197DAFA}"/>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6D6805E7-2E5B-40F3-A75C-93E32A951747}"/>
    <cellStyle name="Currency 5 2 2 3 2 4 2 3" xfId="12255" xr:uid="{004B253D-EF4C-49E7-A7BF-74BD99F16182}"/>
    <cellStyle name="Currency 5 2 2 3 2 4 3" xfId="5886" xr:uid="{00000000-0005-0000-0000-0000D30B0000}"/>
    <cellStyle name="Currency 5 2 2 3 2 4 3 2" xfId="14328" xr:uid="{003E40E5-AB2F-407C-8614-5F8BBDD10777}"/>
    <cellStyle name="Currency 5 2 2 3 2 4 4" xfId="10110" xr:uid="{477705BB-F6C8-4B2E-B8AF-4035A1367171}"/>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CB939E20-30D1-4447-9565-41797FEB0A27}"/>
    <cellStyle name="Currency 5 2 2 3 2 5 2 3" xfId="12668" xr:uid="{A43D7B20-12E8-4DBE-9B81-6F1FD8A0E05E}"/>
    <cellStyle name="Currency 5 2 2 3 2 5 3" xfId="6299" xr:uid="{00000000-0005-0000-0000-0000D70B0000}"/>
    <cellStyle name="Currency 5 2 2 3 2 5 3 2" xfId="14741" xr:uid="{889B9D1A-4CC6-40AD-B344-8AFE3A955AE8}"/>
    <cellStyle name="Currency 5 2 2 3 2 5 4" xfId="10523" xr:uid="{C4D9E8E0-F947-41CA-A035-5423FD7FDD6D}"/>
    <cellStyle name="Currency 5 2 2 3 2 6" xfId="2427" xr:uid="{00000000-0005-0000-0000-0000D80B0000}"/>
    <cellStyle name="Currency 5 2 2 3 2 6 2" xfId="6712" xr:uid="{00000000-0005-0000-0000-0000D90B0000}"/>
    <cellStyle name="Currency 5 2 2 3 2 6 2 2" xfId="15154" xr:uid="{E6B6BAA1-C75E-4E1A-A1F7-CEB3653CB230}"/>
    <cellStyle name="Currency 5 2 2 3 2 6 3" xfId="10936" xr:uid="{F291D093-36A9-4B0C-A5A9-0A8BE9501F88}"/>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5FD5F107-2D72-478E-9339-085B88AEB8A4}"/>
    <cellStyle name="Currency 5 2 2 3 2 8 3" xfId="11253" xr:uid="{1773DF7E-9801-4C70-B357-400F1BD7FBF2}"/>
    <cellStyle name="Currency 5 2 2 3 2 9" xfId="4646" xr:uid="{00000000-0005-0000-0000-0000DD0B0000}"/>
    <cellStyle name="Currency 5 2 2 3 2 9 2" xfId="13088" xr:uid="{71858A09-E323-43BF-81A4-64FA00B73593}"/>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033EEC00-2F61-437C-8EC8-E370572D19BA}"/>
    <cellStyle name="Currency 5 2 2 3 3 2 3" xfId="11428" xr:uid="{5265E7EC-6738-4F60-95FF-E468B013004C}"/>
    <cellStyle name="Currency 5 2 2 3 3 3" xfId="5059" xr:uid="{00000000-0005-0000-0000-0000E10B0000}"/>
    <cellStyle name="Currency 5 2 2 3 3 3 2" xfId="13501" xr:uid="{5CDF3B73-58B6-434E-8D2E-097D00B1877C}"/>
    <cellStyle name="Currency 5 2 2 3 3 4" xfId="9283" xr:uid="{639C1FC5-BF14-4E1F-8552-39E8E1D9156A}"/>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0C41AA0D-E323-49BE-AB68-C23181F04F8F}"/>
    <cellStyle name="Currency 5 2 2 3 4 2 3" xfId="11841" xr:uid="{59535515-2989-4126-9B87-57D8B36597A4}"/>
    <cellStyle name="Currency 5 2 2 3 4 3" xfId="5472" xr:uid="{00000000-0005-0000-0000-0000E50B0000}"/>
    <cellStyle name="Currency 5 2 2 3 4 3 2" xfId="13914" xr:uid="{983BC1C9-334D-4924-ABA9-7433E972409D}"/>
    <cellStyle name="Currency 5 2 2 3 4 4" xfId="9696" xr:uid="{6814A73E-E621-4855-AA45-F2689EB9AD79}"/>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55334B53-2CB4-45D0-A96D-59B1A0BB080D}"/>
    <cellStyle name="Currency 5 2 2 3 5 2 3" xfId="12254" xr:uid="{5B94F8C2-12A7-4507-83A7-7F8EFF80D41A}"/>
    <cellStyle name="Currency 5 2 2 3 5 3" xfId="5885" xr:uid="{00000000-0005-0000-0000-0000E90B0000}"/>
    <cellStyle name="Currency 5 2 2 3 5 3 2" xfId="14327" xr:uid="{BE97A4ED-CE7F-4CDC-8FD1-C5F1237E0C8E}"/>
    <cellStyle name="Currency 5 2 2 3 5 4" xfId="10109" xr:uid="{442350F5-BA85-4EA8-BBE5-BF6FA3DFFB6E}"/>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284ECD34-04DF-4DDC-9383-025C8D76A4CB}"/>
    <cellStyle name="Currency 5 2 2 3 6 2 3" xfId="12667" xr:uid="{6CBB861B-CC40-4CB3-A117-B7E476430E22}"/>
    <cellStyle name="Currency 5 2 2 3 6 3" xfId="6298" xr:uid="{00000000-0005-0000-0000-0000ED0B0000}"/>
    <cellStyle name="Currency 5 2 2 3 6 3 2" xfId="14740" xr:uid="{EDBAF482-6D70-4BDC-B6B0-981C67043E9F}"/>
    <cellStyle name="Currency 5 2 2 3 6 4" xfId="10522" xr:uid="{96614927-22C5-41E8-82A0-D2A46A9C41CD}"/>
    <cellStyle name="Currency 5 2 2 3 7" xfId="2426" xr:uid="{00000000-0005-0000-0000-0000EE0B0000}"/>
    <cellStyle name="Currency 5 2 2 3 7 2" xfId="6711" xr:uid="{00000000-0005-0000-0000-0000EF0B0000}"/>
    <cellStyle name="Currency 5 2 2 3 7 2 2" xfId="15153" xr:uid="{3DA96BBB-30A2-4E68-A015-3AE4BC3C9249}"/>
    <cellStyle name="Currency 5 2 2 3 7 3" xfId="10935" xr:uid="{A641BFB9-E558-4CE8-8B37-A8A0049A0906}"/>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BF22C6A7-73F4-4D4F-8655-F8BE88E89321}"/>
    <cellStyle name="Currency 5 2 2 3 9 3" xfId="11252" xr:uid="{BCD860DE-AE94-4349-ACC4-A4B7CA1E8526}"/>
    <cellStyle name="Currency 5 2 2 4" xfId="202" xr:uid="{00000000-0005-0000-0000-0000F30B0000}"/>
    <cellStyle name="Currency 5 2 2 4 10" xfId="8871" xr:uid="{7C920C70-A777-4858-A715-B12F812CCFD6}"/>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192DA6E6-778A-410D-B0C5-7FD43DC37B47}"/>
    <cellStyle name="Currency 5 2 2 4 2 2 3" xfId="11430" xr:uid="{03018DEB-18D3-4EAA-BC5C-2FA037B928F9}"/>
    <cellStyle name="Currency 5 2 2 4 2 3" xfId="5061" xr:uid="{00000000-0005-0000-0000-0000F70B0000}"/>
    <cellStyle name="Currency 5 2 2 4 2 3 2" xfId="13503" xr:uid="{F9B16576-A20B-4D87-88E5-1D203FE60D46}"/>
    <cellStyle name="Currency 5 2 2 4 2 4" xfId="9285" xr:uid="{4708EF96-D76E-4F40-B757-3A5B45D79F08}"/>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1AE12318-A9D0-4BF7-922D-A6DDA9E8950B}"/>
    <cellStyle name="Currency 5 2 2 4 3 2 3" xfId="11843" xr:uid="{AEC8DFAF-FD44-4CAD-BB6A-CD001045F192}"/>
    <cellStyle name="Currency 5 2 2 4 3 3" xfId="5474" xr:uid="{00000000-0005-0000-0000-0000FB0B0000}"/>
    <cellStyle name="Currency 5 2 2 4 3 3 2" xfId="13916" xr:uid="{CB74C004-EC0B-4D72-AB28-245FEADD5B50}"/>
    <cellStyle name="Currency 5 2 2 4 3 4" xfId="9698" xr:uid="{650F8CA8-B9DA-47A1-B86B-6D5A1119CF09}"/>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ABED3234-7219-4D24-A4C4-ABFE65A260E4}"/>
    <cellStyle name="Currency 5 2 2 4 4 2 3" xfId="12256" xr:uid="{F3FD6111-7E9D-428C-998C-64DD7F216368}"/>
    <cellStyle name="Currency 5 2 2 4 4 3" xfId="5887" xr:uid="{00000000-0005-0000-0000-0000FF0B0000}"/>
    <cellStyle name="Currency 5 2 2 4 4 3 2" xfId="14329" xr:uid="{473967AA-76E0-4BD4-A816-C7E11914D450}"/>
    <cellStyle name="Currency 5 2 2 4 4 4" xfId="10111" xr:uid="{DE355BAB-3BAB-4C9B-B677-D9E83F533D04}"/>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91784192-2E0A-4E7D-8C76-5940B0013FCA}"/>
    <cellStyle name="Currency 5 2 2 4 5 2 3" xfId="12669" xr:uid="{C1A29441-1E54-4604-BC6F-D558EF96FA48}"/>
    <cellStyle name="Currency 5 2 2 4 5 3" xfId="6300" xr:uid="{00000000-0005-0000-0000-0000030C0000}"/>
    <cellStyle name="Currency 5 2 2 4 5 3 2" xfId="14742" xr:uid="{CEACCA94-140F-4D4B-9CC3-BB2E09615607}"/>
    <cellStyle name="Currency 5 2 2 4 5 4" xfId="10524" xr:uid="{9AAE19E1-3DE2-484F-9A3B-9EAE2379EB51}"/>
    <cellStyle name="Currency 5 2 2 4 6" xfId="2428" xr:uid="{00000000-0005-0000-0000-0000040C0000}"/>
    <cellStyle name="Currency 5 2 2 4 6 2" xfId="6713" xr:uid="{00000000-0005-0000-0000-0000050C0000}"/>
    <cellStyle name="Currency 5 2 2 4 6 2 2" xfId="15155" xr:uid="{042C53E4-174D-49D9-9D3D-3DB8B3362EB2}"/>
    <cellStyle name="Currency 5 2 2 4 6 3" xfId="10937" xr:uid="{3C33D827-243F-4FA4-9282-BF555F6483B6}"/>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44B05219-A24A-4484-B55F-66C1021EB3E3}"/>
    <cellStyle name="Currency 5 2 2 4 8 3" xfId="11254" xr:uid="{6EC263E0-12D2-476E-9F72-93B4432A5AA6}"/>
    <cellStyle name="Currency 5 2 2 4 9" xfId="4647" xr:uid="{00000000-0005-0000-0000-0000090C0000}"/>
    <cellStyle name="Currency 5 2 2 4 9 2" xfId="13089" xr:uid="{46B1FC1C-72ED-48DB-9025-17F45ECD859B}"/>
    <cellStyle name="Currency 5 2 2 5" xfId="203" xr:uid="{00000000-0005-0000-0000-00000A0C0000}"/>
    <cellStyle name="Currency 5 2 2 5 10" xfId="8872" xr:uid="{4D5BA405-1220-4AED-9767-D3F34B946174}"/>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78D162D0-1782-457B-8B54-7871B7925A37}"/>
    <cellStyle name="Currency 5 2 2 5 2 2 3" xfId="11431" xr:uid="{9BCCC2EB-8C69-43F5-909E-80D16CF97D49}"/>
    <cellStyle name="Currency 5 2 2 5 2 3" xfId="5062" xr:uid="{00000000-0005-0000-0000-00000E0C0000}"/>
    <cellStyle name="Currency 5 2 2 5 2 3 2" xfId="13504" xr:uid="{B210107C-E07B-46FD-82DE-F3C7384870F2}"/>
    <cellStyle name="Currency 5 2 2 5 2 4" xfId="9286" xr:uid="{9810A1D3-A0C7-4CD0-81E4-FDEBFFD50D63}"/>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B38D2166-9AE9-41DD-9BCA-437357999023}"/>
    <cellStyle name="Currency 5 2 2 5 3 2 3" xfId="11844" xr:uid="{2CA98BBD-CD66-41FB-9977-1D9B84853468}"/>
    <cellStyle name="Currency 5 2 2 5 3 3" xfId="5475" xr:uid="{00000000-0005-0000-0000-0000120C0000}"/>
    <cellStyle name="Currency 5 2 2 5 3 3 2" xfId="13917" xr:uid="{405FCDDA-D81A-4EB2-BB43-A04E41736FC4}"/>
    <cellStyle name="Currency 5 2 2 5 3 4" xfId="9699" xr:uid="{7628D31B-6A74-4254-842B-5A50D094D39B}"/>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9D20B0FE-1632-427D-8002-AC8502EE1FFF}"/>
    <cellStyle name="Currency 5 2 2 5 4 2 3" xfId="12257" xr:uid="{E6C16052-2680-42DE-9764-52ED1BB65B52}"/>
    <cellStyle name="Currency 5 2 2 5 4 3" xfId="5888" xr:uid="{00000000-0005-0000-0000-0000160C0000}"/>
    <cellStyle name="Currency 5 2 2 5 4 3 2" xfId="14330" xr:uid="{F522B009-0B25-4F9A-AFFF-6FEAF280E321}"/>
    <cellStyle name="Currency 5 2 2 5 4 4" xfId="10112" xr:uid="{F7AAF328-F142-4894-AF1F-E48DF6CEC613}"/>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24D853C8-85FD-4043-A3F8-493EB62B5696}"/>
    <cellStyle name="Currency 5 2 2 5 5 2 3" xfId="12670" xr:uid="{BB11BFA6-F5F6-460E-81AE-A206F4223038}"/>
    <cellStyle name="Currency 5 2 2 5 5 3" xfId="6301" xr:uid="{00000000-0005-0000-0000-00001A0C0000}"/>
    <cellStyle name="Currency 5 2 2 5 5 3 2" xfId="14743" xr:uid="{32C99F9B-880C-4184-86FB-5CAF8E60F80E}"/>
    <cellStyle name="Currency 5 2 2 5 5 4" xfId="10525" xr:uid="{F375CC4F-0C6C-4707-92EE-8833196B0E11}"/>
    <cellStyle name="Currency 5 2 2 5 6" xfId="2429" xr:uid="{00000000-0005-0000-0000-00001B0C0000}"/>
    <cellStyle name="Currency 5 2 2 5 6 2" xfId="6714" xr:uid="{00000000-0005-0000-0000-00001C0C0000}"/>
    <cellStyle name="Currency 5 2 2 5 6 2 2" xfId="15156" xr:uid="{A17BE8B7-9BC5-4C66-BEAB-A8B73DF9A4AB}"/>
    <cellStyle name="Currency 5 2 2 5 6 3" xfId="10938" xr:uid="{0436D0BC-1F70-44D4-A999-40600E2913A6}"/>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FED8434C-7F4E-484F-A58B-46BD466E0FDD}"/>
    <cellStyle name="Currency 5 2 2 5 8 3" xfId="11255" xr:uid="{2F6097F2-C6FE-4454-8494-CB2D745B9BB9}"/>
    <cellStyle name="Currency 5 2 2 5 9" xfId="4648" xr:uid="{00000000-0005-0000-0000-0000200C0000}"/>
    <cellStyle name="Currency 5 2 2 5 9 2" xfId="13090" xr:uid="{D1ABE087-274C-4109-8355-0E7B607D306B}"/>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75C12871-08FB-4A91-9C1E-406A4570F028}"/>
    <cellStyle name="Currency 5 2 4 11" xfId="8873" xr:uid="{411CD21F-CD73-4AC4-8A93-99DBBACA6ACC}"/>
    <cellStyle name="Currency 5 2 4 2" xfId="206" xr:uid="{00000000-0005-0000-0000-0000250C0000}"/>
    <cellStyle name="Currency 5 2 4 2 10" xfId="8874" xr:uid="{AA2270DE-D472-443E-9450-DDE9C9F50DE5}"/>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E7135056-D936-45A7-B8E7-57F32C287461}"/>
    <cellStyle name="Currency 5 2 4 2 2 2 3" xfId="11433" xr:uid="{48EC0A39-4C72-4B4A-972B-699C6040618E}"/>
    <cellStyle name="Currency 5 2 4 2 2 3" xfId="5064" xr:uid="{00000000-0005-0000-0000-0000290C0000}"/>
    <cellStyle name="Currency 5 2 4 2 2 3 2" xfId="13506" xr:uid="{552EA835-494C-4029-9E64-5626EE1A7226}"/>
    <cellStyle name="Currency 5 2 4 2 2 4" xfId="9288" xr:uid="{74467AD9-494A-46AF-B8E5-955589DC3833}"/>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03417040-5F3B-42C9-8947-6B93B324B7B9}"/>
    <cellStyle name="Currency 5 2 4 2 3 2 3" xfId="11846" xr:uid="{B567ECFA-B32A-4A1F-A66A-E5241B79B9B9}"/>
    <cellStyle name="Currency 5 2 4 2 3 3" xfId="5477" xr:uid="{00000000-0005-0000-0000-00002D0C0000}"/>
    <cellStyle name="Currency 5 2 4 2 3 3 2" xfId="13919" xr:uid="{CB8D6C9C-5C24-45D2-A4B9-BD603AD5F481}"/>
    <cellStyle name="Currency 5 2 4 2 3 4" xfId="9701" xr:uid="{44096FF3-ABD3-4C21-B007-1E10DAA0AEBD}"/>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E5C761F5-3785-489A-8AA4-F3CFAF407E9E}"/>
    <cellStyle name="Currency 5 2 4 2 4 2 3" xfId="12259" xr:uid="{842FEA07-4B2F-4031-8C19-CE6603BE50ED}"/>
    <cellStyle name="Currency 5 2 4 2 4 3" xfId="5890" xr:uid="{00000000-0005-0000-0000-0000310C0000}"/>
    <cellStyle name="Currency 5 2 4 2 4 3 2" xfId="14332" xr:uid="{6F1E18F7-77EA-4979-80C5-902E6347C026}"/>
    <cellStyle name="Currency 5 2 4 2 4 4" xfId="10114" xr:uid="{3B91E4B1-7AB0-4C4B-A0F8-64A1B6A19C63}"/>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8EA1506E-0BF3-4F29-B59C-1C554E92A432}"/>
    <cellStyle name="Currency 5 2 4 2 5 2 3" xfId="12672" xr:uid="{3CD88FFA-A222-495D-8DC3-6013D58457EB}"/>
    <cellStyle name="Currency 5 2 4 2 5 3" xfId="6303" xr:uid="{00000000-0005-0000-0000-0000350C0000}"/>
    <cellStyle name="Currency 5 2 4 2 5 3 2" xfId="14745" xr:uid="{4A2FE20F-DC82-491A-BEFD-8DBBD8101A30}"/>
    <cellStyle name="Currency 5 2 4 2 5 4" xfId="10527" xr:uid="{4CF5A6E4-D169-45F6-B6AD-E553873340D4}"/>
    <cellStyle name="Currency 5 2 4 2 6" xfId="2431" xr:uid="{00000000-0005-0000-0000-0000360C0000}"/>
    <cellStyle name="Currency 5 2 4 2 6 2" xfId="6716" xr:uid="{00000000-0005-0000-0000-0000370C0000}"/>
    <cellStyle name="Currency 5 2 4 2 6 2 2" xfId="15158" xr:uid="{5F69D5D3-26D9-4CEC-B2DE-4D4D72DFCE6E}"/>
    <cellStyle name="Currency 5 2 4 2 6 3" xfId="10940" xr:uid="{E8AFEB63-586A-4685-AD77-869A7FFF8B75}"/>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6AD41F72-FB3E-455C-81EB-5D23BB597932}"/>
    <cellStyle name="Currency 5 2 4 2 8 3" xfId="11257" xr:uid="{A23C23F0-7BC3-4858-A0C0-5F059C19D568}"/>
    <cellStyle name="Currency 5 2 4 2 9" xfId="4650" xr:uid="{00000000-0005-0000-0000-00003B0C0000}"/>
    <cellStyle name="Currency 5 2 4 2 9 2" xfId="13092" xr:uid="{9E9EA583-11F9-44BB-9CCF-C381F05B37A5}"/>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D088B38D-27D7-4E19-B469-01258B870670}"/>
    <cellStyle name="Currency 5 2 4 3 2 3" xfId="11432" xr:uid="{1BDFA7DE-632B-4504-8CDB-D96D73CDE70F}"/>
    <cellStyle name="Currency 5 2 4 3 3" xfId="5063" xr:uid="{00000000-0005-0000-0000-00003F0C0000}"/>
    <cellStyle name="Currency 5 2 4 3 3 2" xfId="13505" xr:uid="{9FE85BEB-E7AE-4463-88F7-A59CDEB9B3AE}"/>
    <cellStyle name="Currency 5 2 4 3 4" xfId="9287" xr:uid="{C1DF89AB-A06F-40BE-862D-0D85A735A14F}"/>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E4AE6208-EF36-4C16-8A58-7F8DC52E3566}"/>
    <cellStyle name="Currency 5 2 4 4 2 3" xfId="11845" xr:uid="{5FC77B6E-5C45-46C4-91D2-CC8A5CA4B864}"/>
    <cellStyle name="Currency 5 2 4 4 3" xfId="5476" xr:uid="{00000000-0005-0000-0000-0000430C0000}"/>
    <cellStyle name="Currency 5 2 4 4 3 2" xfId="13918" xr:uid="{88CA637D-74F8-4864-A223-B2793E0AA857}"/>
    <cellStyle name="Currency 5 2 4 4 4" xfId="9700" xr:uid="{04EEB219-2C9A-40AE-B3F0-E1C8E33E61E2}"/>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2C81B4C8-BA57-4EAA-8BD4-647E4BD62752}"/>
    <cellStyle name="Currency 5 2 4 5 2 3" xfId="12258" xr:uid="{23D88AD1-5F6F-43C6-95CC-5D16D89867DA}"/>
    <cellStyle name="Currency 5 2 4 5 3" xfId="5889" xr:uid="{00000000-0005-0000-0000-0000470C0000}"/>
    <cellStyle name="Currency 5 2 4 5 3 2" xfId="14331" xr:uid="{DCE94CAA-EE95-4345-9FA3-E32AEE2C813F}"/>
    <cellStyle name="Currency 5 2 4 5 4" xfId="10113" xr:uid="{48ED1D9A-AAE3-4605-803A-003545F64CCE}"/>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6F037182-B203-40AB-B058-7C4D648B6FDD}"/>
    <cellStyle name="Currency 5 2 4 6 2 3" xfId="12671" xr:uid="{99ABF37B-B7BD-43AC-A3A2-F4FAD28A5FA3}"/>
    <cellStyle name="Currency 5 2 4 6 3" xfId="6302" xr:uid="{00000000-0005-0000-0000-00004B0C0000}"/>
    <cellStyle name="Currency 5 2 4 6 3 2" xfId="14744" xr:uid="{5FDA9541-C605-4756-896C-119DD8D7905A}"/>
    <cellStyle name="Currency 5 2 4 6 4" xfId="10526" xr:uid="{F1FB2C82-DBC4-4186-B99E-22FE2864D4B9}"/>
    <cellStyle name="Currency 5 2 4 7" xfId="2430" xr:uid="{00000000-0005-0000-0000-00004C0C0000}"/>
    <cellStyle name="Currency 5 2 4 7 2" xfId="6715" xr:uid="{00000000-0005-0000-0000-00004D0C0000}"/>
    <cellStyle name="Currency 5 2 4 7 2 2" xfId="15157" xr:uid="{64FB78DF-B766-46C4-A029-345845F68AB2}"/>
    <cellStyle name="Currency 5 2 4 7 3" xfId="10939" xr:uid="{A21818E1-591B-4B41-ADAD-34D0A0867611}"/>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D113A952-7CDE-4390-83AE-D76DBD66646C}"/>
    <cellStyle name="Currency 5 2 4 9 3" xfId="11256" xr:uid="{1867D22B-BEFD-4B12-B76C-7C249CD64EB5}"/>
    <cellStyle name="Currency 5 2 5" xfId="207" xr:uid="{00000000-0005-0000-0000-0000510C0000}"/>
    <cellStyle name="Currency 5 2 5 10" xfId="8875" xr:uid="{639CE260-A211-4FD3-97B3-918C3861B596}"/>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4E050BFE-EB78-4D3D-A924-1DA69C1FDEAA}"/>
    <cellStyle name="Currency 5 2 5 2 2 3" xfId="11434" xr:uid="{91482FC3-20AC-404D-AC49-3B9BBE9BCD5F}"/>
    <cellStyle name="Currency 5 2 5 2 3" xfId="5065" xr:uid="{00000000-0005-0000-0000-0000550C0000}"/>
    <cellStyle name="Currency 5 2 5 2 3 2" xfId="13507" xr:uid="{191D7990-EA36-44AF-BF2A-D9C63D761BFE}"/>
    <cellStyle name="Currency 5 2 5 2 4" xfId="9289" xr:uid="{6C140880-0AED-4AC2-8EB9-46C587E91314}"/>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960F25B5-264F-4C67-ACCF-3FD6CC355FBD}"/>
    <cellStyle name="Currency 5 2 5 3 2 3" xfId="11847" xr:uid="{46A70975-1E70-4044-B529-74FBF28E1053}"/>
    <cellStyle name="Currency 5 2 5 3 3" xfId="5478" xr:uid="{00000000-0005-0000-0000-0000590C0000}"/>
    <cellStyle name="Currency 5 2 5 3 3 2" xfId="13920" xr:uid="{9E3C54AC-B47D-4BED-B97D-8C134746A0E1}"/>
    <cellStyle name="Currency 5 2 5 3 4" xfId="9702" xr:uid="{FF330794-E70B-43AA-B0E8-81DEB4B1FC68}"/>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788E03DA-BDB9-4516-BFE9-EFF94E872B7C}"/>
    <cellStyle name="Currency 5 2 5 4 2 3" xfId="12260" xr:uid="{3006C0E4-9F11-4492-A376-A64013CFA3E4}"/>
    <cellStyle name="Currency 5 2 5 4 3" xfId="5891" xr:uid="{00000000-0005-0000-0000-00005D0C0000}"/>
    <cellStyle name="Currency 5 2 5 4 3 2" xfId="14333" xr:uid="{D723012E-AC9B-444F-A8C4-0C1BAF09A3FD}"/>
    <cellStyle name="Currency 5 2 5 4 4" xfId="10115" xr:uid="{9CBAFA03-E82C-47D6-A65F-07A86D5751B9}"/>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8D93BF63-D0C6-4D5E-9579-3AE51D0BA9A8}"/>
    <cellStyle name="Currency 5 2 5 5 2 3" xfId="12673" xr:uid="{C80C1DE7-429A-4E67-8BD5-DC2194A4B992}"/>
    <cellStyle name="Currency 5 2 5 5 3" xfId="6304" xr:uid="{00000000-0005-0000-0000-0000610C0000}"/>
    <cellStyle name="Currency 5 2 5 5 3 2" xfId="14746" xr:uid="{8C6D5528-5C79-4534-B714-9F1407784E82}"/>
    <cellStyle name="Currency 5 2 5 5 4" xfId="10528" xr:uid="{A557DD38-9799-4BF8-9281-36BBCCD0739D}"/>
    <cellStyle name="Currency 5 2 5 6" xfId="2432" xr:uid="{00000000-0005-0000-0000-0000620C0000}"/>
    <cellStyle name="Currency 5 2 5 6 2" xfId="6717" xr:uid="{00000000-0005-0000-0000-0000630C0000}"/>
    <cellStyle name="Currency 5 2 5 6 2 2" xfId="15159" xr:uid="{E37BAD80-C921-4DFA-9E03-357C0AE1E5FB}"/>
    <cellStyle name="Currency 5 2 5 6 3" xfId="10941" xr:uid="{C41248EA-53BC-4FCE-AED4-207897C72CEB}"/>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98970607-97B1-4E9C-919D-0EF8F99015B3}"/>
    <cellStyle name="Currency 5 2 5 8 3" xfId="11258" xr:uid="{0479C556-D686-4A46-A87C-4C20DAD6E6B1}"/>
    <cellStyle name="Currency 5 2 5 9" xfId="4651" xr:uid="{00000000-0005-0000-0000-0000670C0000}"/>
    <cellStyle name="Currency 5 2 5 9 2" xfId="13093" xr:uid="{0F65D3E0-4C82-4C8C-8557-BAADEBDD0DC5}"/>
    <cellStyle name="Currency 5 2 6" xfId="208" xr:uid="{00000000-0005-0000-0000-0000680C0000}"/>
    <cellStyle name="Currency 5 2 6 10" xfId="8876" xr:uid="{9F03BFB4-230A-4D01-9D1B-C736660FBDA7}"/>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A4D09AF0-9737-4152-AD8D-8755A3F8A1E2}"/>
    <cellStyle name="Currency 5 2 6 2 2 3" xfId="11435" xr:uid="{C3B9267E-2F91-4A83-B52F-F382DCD0E2D9}"/>
    <cellStyle name="Currency 5 2 6 2 3" xfId="5066" xr:uid="{00000000-0005-0000-0000-00006C0C0000}"/>
    <cellStyle name="Currency 5 2 6 2 3 2" xfId="13508" xr:uid="{C1F1059E-C5D4-4BE8-BC69-9340CF4E9686}"/>
    <cellStyle name="Currency 5 2 6 2 4" xfId="9290" xr:uid="{942D561C-7A89-425F-9579-F34AD0A1CD73}"/>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1B0E4A47-6ECA-4224-B77E-BB02CD3592D4}"/>
    <cellStyle name="Currency 5 2 6 3 2 3" xfId="11848" xr:uid="{9E002461-05E5-4EA0-8EEA-81C6811A8CF1}"/>
    <cellStyle name="Currency 5 2 6 3 3" xfId="5479" xr:uid="{00000000-0005-0000-0000-0000700C0000}"/>
    <cellStyle name="Currency 5 2 6 3 3 2" xfId="13921" xr:uid="{F0C0554E-72D2-4AA0-9792-C79AE53D4677}"/>
    <cellStyle name="Currency 5 2 6 3 4" xfId="9703" xr:uid="{62C27EC0-9103-44C7-B6FB-D5E792BF55A6}"/>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2C3A6CD3-D248-49D0-9B05-7B9611C0D2F5}"/>
    <cellStyle name="Currency 5 2 6 4 2 3" xfId="12261" xr:uid="{DF7E1C34-E496-4E1C-B1B4-976A7B0E04BD}"/>
    <cellStyle name="Currency 5 2 6 4 3" xfId="5892" xr:uid="{00000000-0005-0000-0000-0000740C0000}"/>
    <cellStyle name="Currency 5 2 6 4 3 2" xfId="14334" xr:uid="{819BBAFC-B99D-4F7E-A2BD-E7EEFF3A5467}"/>
    <cellStyle name="Currency 5 2 6 4 4" xfId="10116" xr:uid="{0D5E047C-66C7-4215-8C78-13F22E201675}"/>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844793EB-430D-4C4C-BFE0-9D0BF26433A5}"/>
    <cellStyle name="Currency 5 2 6 5 2 3" xfId="12674" xr:uid="{AA9D00C4-261D-431F-A636-1336184C3535}"/>
    <cellStyle name="Currency 5 2 6 5 3" xfId="6305" xr:uid="{00000000-0005-0000-0000-0000780C0000}"/>
    <cellStyle name="Currency 5 2 6 5 3 2" xfId="14747" xr:uid="{9483EA01-358A-4C47-8F38-784B34D7F8E0}"/>
    <cellStyle name="Currency 5 2 6 5 4" xfId="10529" xr:uid="{427FEF8E-964F-48A2-AC18-E731990B94FC}"/>
    <cellStyle name="Currency 5 2 6 6" xfId="2433" xr:uid="{00000000-0005-0000-0000-0000790C0000}"/>
    <cellStyle name="Currency 5 2 6 6 2" xfId="6718" xr:uid="{00000000-0005-0000-0000-00007A0C0000}"/>
    <cellStyle name="Currency 5 2 6 6 2 2" xfId="15160" xr:uid="{E6C04E10-C0D0-42A8-BDCF-8ADFA1083E2C}"/>
    <cellStyle name="Currency 5 2 6 6 3" xfId="10942" xr:uid="{916E0A00-890C-46E4-81FD-AEF808A14AF0}"/>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B8B41756-84FF-428F-BF27-4D270FD6F56C}"/>
    <cellStyle name="Currency 5 2 6 8 3" xfId="11259" xr:uid="{3989DC7A-B0F9-48F5-981B-C9781C5D3C92}"/>
    <cellStyle name="Currency 5 2 6 9" xfId="4652" xr:uid="{00000000-0005-0000-0000-00007E0C0000}"/>
    <cellStyle name="Currency 5 2 6 9 2" xfId="13094" xr:uid="{3337F0FD-6D14-483F-B557-0255EAB450A7}"/>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07DB49AC-12F9-471B-ADEF-B266A41689C1}"/>
    <cellStyle name="Currency 5 3 2 10 3" xfId="11260" xr:uid="{79AEE0EC-45E8-4C1C-8B62-072286D05541}"/>
    <cellStyle name="Currency 5 3 2 11" xfId="4653" xr:uid="{00000000-0005-0000-0000-0000840C0000}"/>
    <cellStyle name="Currency 5 3 2 11 2" xfId="13095" xr:uid="{9BE204EA-3F9E-46A1-8EB4-2965D7205E44}"/>
    <cellStyle name="Currency 5 3 2 12" xfId="8877" xr:uid="{6D84D7BF-F3C3-4612-8D00-3F9F906775E7}"/>
    <cellStyle name="Currency 5 3 2 2" xfId="211" xr:uid="{00000000-0005-0000-0000-0000850C0000}"/>
    <cellStyle name="Currency 5 3 2 2 10" xfId="4654" xr:uid="{00000000-0005-0000-0000-0000860C0000}"/>
    <cellStyle name="Currency 5 3 2 2 10 2" xfId="13096" xr:uid="{003FD404-6DC1-42CB-8367-BC9552848218}"/>
    <cellStyle name="Currency 5 3 2 2 11" xfId="8878" xr:uid="{3E0F7D83-82F2-4BBD-9D73-09157E7FC6F4}"/>
    <cellStyle name="Currency 5 3 2 2 2" xfId="212" xr:uid="{00000000-0005-0000-0000-0000870C0000}"/>
    <cellStyle name="Currency 5 3 2 2 2 10" xfId="8879" xr:uid="{366FBF14-B6F3-4A07-A65F-2E4680030CFA}"/>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CF1363F8-06AB-4365-B907-029F48AFDA2F}"/>
    <cellStyle name="Currency 5 3 2 2 2 2 2 3" xfId="11438" xr:uid="{884B0A33-D924-4D91-B8D0-DDBE33BA00CC}"/>
    <cellStyle name="Currency 5 3 2 2 2 2 3" xfId="5069" xr:uid="{00000000-0005-0000-0000-00008B0C0000}"/>
    <cellStyle name="Currency 5 3 2 2 2 2 3 2" xfId="13511" xr:uid="{B0AA7B34-7518-4CA0-A60D-63A0DCAE85DC}"/>
    <cellStyle name="Currency 5 3 2 2 2 2 4" xfId="9293" xr:uid="{2176CFAF-B68A-4DC2-B97B-4FD828B582F6}"/>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3EB2599F-4F79-40CA-BD41-ECC552F21087}"/>
    <cellStyle name="Currency 5 3 2 2 2 3 2 3" xfId="11851" xr:uid="{AF4F2A27-15C0-4E5F-8D6E-9D0D44E1153D}"/>
    <cellStyle name="Currency 5 3 2 2 2 3 3" xfId="5482" xr:uid="{00000000-0005-0000-0000-00008F0C0000}"/>
    <cellStyle name="Currency 5 3 2 2 2 3 3 2" xfId="13924" xr:uid="{F7B06DAC-229A-4032-855F-709310F903A4}"/>
    <cellStyle name="Currency 5 3 2 2 2 3 4" xfId="9706" xr:uid="{5426ABA1-21D3-4401-A08E-1871184115EB}"/>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B2754857-BD5B-45F4-862D-1467990A6A35}"/>
    <cellStyle name="Currency 5 3 2 2 2 4 2 3" xfId="12264" xr:uid="{BB893FC2-734F-4319-8556-339AA0D62FCB}"/>
    <cellStyle name="Currency 5 3 2 2 2 4 3" xfId="5895" xr:uid="{00000000-0005-0000-0000-0000930C0000}"/>
    <cellStyle name="Currency 5 3 2 2 2 4 3 2" xfId="14337" xr:uid="{EE61D3EB-5618-44EB-9C13-5EF7EB638091}"/>
    <cellStyle name="Currency 5 3 2 2 2 4 4" xfId="10119" xr:uid="{4A1338FF-01CC-4956-8571-7B35AA44C077}"/>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088C01C4-91EB-43CF-A0F3-003EE5086859}"/>
    <cellStyle name="Currency 5 3 2 2 2 5 2 3" xfId="12677" xr:uid="{E6373C0C-5FE1-4AAA-9B89-E9EF9D9B2DEF}"/>
    <cellStyle name="Currency 5 3 2 2 2 5 3" xfId="6308" xr:uid="{00000000-0005-0000-0000-0000970C0000}"/>
    <cellStyle name="Currency 5 3 2 2 2 5 3 2" xfId="14750" xr:uid="{1F8AE1D5-5E8E-48DF-BA61-BC7EAE3AEFB8}"/>
    <cellStyle name="Currency 5 3 2 2 2 5 4" xfId="10532" xr:uid="{24F0DD54-2543-44C2-BCF5-3B9F61F132AA}"/>
    <cellStyle name="Currency 5 3 2 2 2 6" xfId="2436" xr:uid="{00000000-0005-0000-0000-0000980C0000}"/>
    <cellStyle name="Currency 5 3 2 2 2 6 2" xfId="6721" xr:uid="{00000000-0005-0000-0000-0000990C0000}"/>
    <cellStyle name="Currency 5 3 2 2 2 6 2 2" xfId="15163" xr:uid="{C9D1989F-F611-4C2C-A6E1-92A0348F7914}"/>
    <cellStyle name="Currency 5 3 2 2 2 6 3" xfId="10945" xr:uid="{21531690-4F37-4B23-B3F9-D1AEFE6F6C77}"/>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E133E133-ED5B-4764-87ED-23E00130C62E}"/>
    <cellStyle name="Currency 5 3 2 2 2 8 3" xfId="11262" xr:uid="{6C0630FD-1364-4CF8-BBBD-16E3DF89E4CC}"/>
    <cellStyle name="Currency 5 3 2 2 2 9" xfId="4655" xr:uid="{00000000-0005-0000-0000-00009D0C0000}"/>
    <cellStyle name="Currency 5 3 2 2 2 9 2" xfId="13097" xr:uid="{053A4A7B-93A6-4212-9F4B-1EF508E8F872}"/>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55921D40-4A2B-4B3D-ACB7-60E4A05A78B8}"/>
    <cellStyle name="Currency 5 3 2 2 3 2 3" xfId="11437" xr:uid="{F76B9A63-28D1-40C0-ADDD-33CBD61FBBF8}"/>
    <cellStyle name="Currency 5 3 2 2 3 3" xfId="5068" xr:uid="{00000000-0005-0000-0000-0000A10C0000}"/>
    <cellStyle name="Currency 5 3 2 2 3 3 2" xfId="13510" xr:uid="{25AD9609-AB12-4C4F-AE5A-02BB76BBE694}"/>
    <cellStyle name="Currency 5 3 2 2 3 4" xfId="9292" xr:uid="{476CBC2B-B629-45EF-BBFB-D568D024980F}"/>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F0B796EF-52BB-41EA-9A8F-A3FC07118EE4}"/>
    <cellStyle name="Currency 5 3 2 2 4 2 3" xfId="11850" xr:uid="{0C76E625-582B-4868-A3D9-3132CFD36800}"/>
    <cellStyle name="Currency 5 3 2 2 4 3" xfId="5481" xr:uid="{00000000-0005-0000-0000-0000A50C0000}"/>
    <cellStyle name="Currency 5 3 2 2 4 3 2" xfId="13923" xr:uid="{677E19DA-FF10-42FF-93C4-30234E456678}"/>
    <cellStyle name="Currency 5 3 2 2 4 4" xfId="9705" xr:uid="{EF4A81D5-36F8-4A7C-A153-74785A9D3D5C}"/>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9B4A87A8-43C6-4096-BEE5-C9A527F829EA}"/>
    <cellStyle name="Currency 5 3 2 2 5 2 3" xfId="12263" xr:uid="{8F11606D-1C41-4B63-9721-7A1DC80D7C12}"/>
    <cellStyle name="Currency 5 3 2 2 5 3" xfId="5894" xr:uid="{00000000-0005-0000-0000-0000A90C0000}"/>
    <cellStyle name="Currency 5 3 2 2 5 3 2" xfId="14336" xr:uid="{B38A0B37-881D-4615-9BAB-8AD708A9B2BC}"/>
    <cellStyle name="Currency 5 3 2 2 5 4" xfId="10118" xr:uid="{063AE1E1-0754-474C-8500-FFD71C0922BF}"/>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99615761-93EB-468F-B92E-5581BF3FF7E9}"/>
    <cellStyle name="Currency 5 3 2 2 6 2 3" xfId="12676" xr:uid="{63AF573C-9167-4EB6-A336-37FC92AD331F}"/>
    <cellStyle name="Currency 5 3 2 2 6 3" xfId="6307" xr:uid="{00000000-0005-0000-0000-0000AD0C0000}"/>
    <cellStyle name="Currency 5 3 2 2 6 3 2" xfId="14749" xr:uid="{B3F1EECD-7081-49F7-A526-6BEE12FE8AB5}"/>
    <cellStyle name="Currency 5 3 2 2 6 4" xfId="10531" xr:uid="{DA02A604-9899-4AA0-843A-2290E4CE6D49}"/>
    <cellStyle name="Currency 5 3 2 2 7" xfId="2435" xr:uid="{00000000-0005-0000-0000-0000AE0C0000}"/>
    <cellStyle name="Currency 5 3 2 2 7 2" xfId="6720" xr:uid="{00000000-0005-0000-0000-0000AF0C0000}"/>
    <cellStyle name="Currency 5 3 2 2 7 2 2" xfId="15162" xr:uid="{7E5511B9-9612-4837-85D4-018FFD4ACB26}"/>
    <cellStyle name="Currency 5 3 2 2 7 3" xfId="10944" xr:uid="{4E3C80CD-641D-474F-85E4-642D7A103431}"/>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42D60670-8D40-43CE-810D-764AA8319B6F}"/>
    <cellStyle name="Currency 5 3 2 2 9 3" xfId="11261" xr:uid="{7F0410EB-6E4F-41E5-A1CB-950B9927DADE}"/>
    <cellStyle name="Currency 5 3 2 3" xfId="213" xr:uid="{00000000-0005-0000-0000-0000B30C0000}"/>
    <cellStyle name="Currency 5 3 2 3 10" xfId="8880" xr:uid="{A59B9786-5545-4D31-BE74-40A5240174A9}"/>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57740DDF-F916-447F-B570-1CA925A63694}"/>
    <cellStyle name="Currency 5 3 2 3 2 2 3" xfId="11439" xr:uid="{161E4449-26CC-4469-A50F-E5D18CB5ADE4}"/>
    <cellStyle name="Currency 5 3 2 3 2 3" xfId="5070" xr:uid="{00000000-0005-0000-0000-0000B70C0000}"/>
    <cellStyle name="Currency 5 3 2 3 2 3 2" xfId="13512" xr:uid="{9B2E05D3-17A5-407B-BA9B-33CCD9C31084}"/>
    <cellStyle name="Currency 5 3 2 3 2 4" xfId="9294" xr:uid="{B9A45870-E4AB-4ED9-8DA0-00BDF07648BC}"/>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959365C1-B7BA-4061-AD73-72AD67E7D879}"/>
    <cellStyle name="Currency 5 3 2 3 3 2 3" xfId="11852" xr:uid="{52F95A04-24E2-4799-97F8-1FA6615D29A6}"/>
    <cellStyle name="Currency 5 3 2 3 3 3" xfId="5483" xr:uid="{00000000-0005-0000-0000-0000BB0C0000}"/>
    <cellStyle name="Currency 5 3 2 3 3 3 2" xfId="13925" xr:uid="{397A9989-5E8C-4821-8734-C508DDD00C95}"/>
    <cellStyle name="Currency 5 3 2 3 3 4" xfId="9707" xr:uid="{C7FBC83E-FDE3-4117-B133-6A248478DF85}"/>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38FC05ED-0629-4E46-B007-613C97031CAD}"/>
    <cellStyle name="Currency 5 3 2 3 4 2 3" xfId="12265" xr:uid="{7D6CE993-9BBD-417B-94DD-711CF516356D}"/>
    <cellStyle name="Currency 5 3 2 3 4 3" xfId="5896" xr:uid="{00000000-0005-0000-0000-0000BF0C0000}"/>
    <cellStyle name="Currency 5 3 2 3 4 3 2" xfId="14338" xr:uid="{14912D0A-3793-4211-9E50-63BE1C4D3676}"/>
    <cellStyle name="Currency 5 3 2 3 4 4" xfId="10120" xr:uid="{C994385D-815F-480A-88BE-7930FB2185CE}"/>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21FC2C83-0F11-4667-BA2E-5A05852A85F5}"/>
    <cellStyle name="Currency 5 3 2 3 5 2 3" xfId="12678" xr:uid="{DF47ED30-1776-4ED0-8DEE-CC850D39B2F7}"/>
    <cellStyle name="Currency 5 3 2 3 5 3" xfId="6309" xr:uid="{00000000-0005-0000-0000-0000C30C0000}"/>
    <cellStyle name="Currency 5 3 2 3 5 3 2" xfId="14751" xr:uid="{3C3F08A5-44CD-49BB-A91D-FA011DA19BE9}"/>
    <cellStyle name="Currency 5 3 2 3 5 4" xfId="10533" xr:uid="{C950439A-40B8-430C-8D6B-6617F9B36D6F}"/>
    <cellStyle name="Currency 5 3 2 3 6" xfId="2437" xr:uid="{00000000-0005-0000-0000-0000C40C0000}"/>
    <cellStyle name="Currency 5 3 2 3 6 2" xfId="6722" xr:uid="{00000000-0005-0000-0000-0000C50C0000}"/>
    <cellStyle name="Currency 5 3 2 3 6 2 2" xfId="15164" xr:uid="{056934A2-D843-4B76-B2DD-DB2988729226}"/>
    <cellStyle name="Currency 5 3 2 3 6 3" xfId="10946" xr:uid="{35F56013-76CC-4EC7-AB8B-4BF63FFD578F}"/>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5BDCD28F-A277-426C-A4C2-80D890A786BD}"/>
    <cellStyle name="Currency 5 3 2 3 8 3" xfId="11263" xr:uid="{569BB7E1-387F-4C73-977E-559A0D9C660B}"/>
    <cellStyle name="Currency 5 3 2 3 9" xfId="4656" xr:uid="{00000000-0005-0000-0000-0000C90C0000}"/>
    <cellStyle name="Currency 5 3 2 3 9 2" xfId="13098" xr:uid="{53110565-6B95-4B40-8F45-158D9B386B82}"/>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C78D00DA-2290-4BF9-90A0-0AAF188D664A}"/>
    <cellStyle name="Currency 5 3 2 4 2 3" xfId="11436" xr:uid="{C49B425C-7E03-4E6A-B71C-C167BCF79835}"/>
    <cellStyle name="Currency 5 3 2 4 3" xfId="5067" xr:uid="{00000000-0005-0000-0000-0000CD0C0000}"/>
    <cellStyle name="Currency 5 3 2 4 3 2" xfId="13509" xr:uid="{C4DC38BD-6CF4-4442-93D3-CC4E12C4504D}"/>
    <cellStyle name="Currency 5 3 2 4 4" xfId="9291" xr:uid="{571F8928-98C8-42D6-966C-15093368E55B}"/>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35F6AD4E-F70B-489C-91F0-3F49A325379D}"/>
    <cellStyle name="Currency 5 3 2 5 2 3" xfId="11849" xr:uid="{445A24BA-4A4A-4CEB-B1FE-25620AE15916}"/>
    <cellStyle name="Currency 5 3 2 5 3" xfId="5480" xr:uid="{00000000-0005-0000-0000-0000D10C0000}"/>
    <cellStyle name="Currency 5 3 2 5 3 2" xfId="13922" xr:uid="{BA79E241-63D2-4B5E-BEE1-31DDEE2709ED}"/>
    <cellStyle name="Currency 5 3 2 5 4" xfId="9704" xr:uid="{5F5B90A6-8B7C-4535-BF98-B795CA3CF85F}"/>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4AC5609A-1F1B-4BB0-A203-BB4D57FDB996}"/>
    <cellStyle name="Currency 5 3 2 6 2 3" xfId="12262" xr:uid="{EA114F1A-5B0C-4EA5-A340-533B1F410366}"/>
    <cellStyle name="Currency 5 3 2 6 3" xfId="5893" xr:uid="{00000000-0005-0000-0000-0000D50C0000}"/>
    <cellStyle name="Currency 5 3 2 6 3 2" xfId="14335" xr:uid="{005AC1FA-6BA4-4179-945C-CD1F6FAEE5DD}"/>
    <cellStyle name="Currency 5 3 2 6 4" xfId="10117" xr:uid="{4701FB0F-1E8C-4FCA-AE7D-4DFA6127F9B8}"/>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41161D1F-0107-4A0F-8286-6FC5A64E9234}"/>
    <cellStyle name="Currency 5 3 2 7 2 3" xfId="12675" xr:uid="{318143FE-2603-4BEC-8444-E0DB610BF339}"/>
    <cellStyle name="Currency 5 3 2 7 3" xfId="6306" xr:uid="{00000000-0005-0000-0000-0000D90C0000}"/>
    <cellStyle name="Currency 5 3 2 7 3 2" xfId="14748" xr:uid="{9960E3FA-E6B9-4518-BD2E-CD4DAE18F541}"/>
    <cellStyle name="Currency 5 3 2 7 4" xfId="10530" xr:uid="{32D438DC-2470-4F54-9027-1F7ED9C6BD6B}"/>
    <cellStyle name="Currency 5 3 2 8" xfId="2434" xr:uid="{00000000-0005-0000-0000-0000DA0C0000}"/>
    <cellStyle name="Currency 5 3 2 8 2" xfId="6719" xr:uid="{00000000-0005-0000-0000-0000DB0C0000}"/>
    <cellStyle name="Currency 5 3 2 8 2 2" xfId="15161" xr:uid="{E7D31E72-40D0-455D-A14A-A885933D0320}"/>
    <cellStyle name="Currency 5 3 2 8 3" xfId="10943" xr:uid="{10513880-D0FF-4EB5-B9F4-E659C40E7EE0}"/>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41B93AD5-1E63-4605-8E2E-0C49630C7CCD}"/>
    <cellStyle name="Currency 5 3 3 11" xfId="8881" xr:uid="{DFCF3F4E-5BFD-480C-B01C-01A27FFE80E6}"/>
    <cellStyle name="Currency 5 3 3 2" xfId="215" xr:uid="{00000000-0005-0000-0000-0000DF0C0000}"/>
    <cellStyle name="Currency 5 3 3 2 10" xfId="8882" xr:uid="{4D38C45F-EFF1-4E31-8F33-FB69F25A871B}"/>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FCF5838F-9DBB-4177-9634-5E628E88E065}"/>
    <cellStyle name="Currency 5 3 3 2 2 2 3" xfId="11441" xr:uid="{5F932630-39B9-45DF-AA9C-6CD7D34FB8DB}"/>
    <cellStyle name="Currency 5 3 3 2 2 3" xfId="5072" xr:uid="{00000000-0005-0000-0000-0000E30C0000}"/>
    <cellStyle name="Currency 5 3 3 2 2 3 2" xfId="13514" xr:uid="{868C8FA3-2B21-4FED-914F-B05B359B6D4B}"/>
    <cellStyle name="Currency 5 3 3 2 2 4" xfId="9296" xr:uid="{D800F92A-115A-4F5E-A4B8-DAEA9DD5064E}"/>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47130CEF-51C7-474A-BE95-7461FEBA37BD}"/>
    <cellStyle name="Currency 5 3 3 2 3 2 3" xfId="11854" xr:uid="{314BF9AF-110D-4E86-942E-298F05E4D6E6}"/>
    <cellStyle name="Currency 5 3 3 2 3 3" xfId="5485" xr:uid="{00000000-0005-0000-0000-0000E70C0000}"/>
    <cellStyle name="Currency 5 3 3 2 3 3 2" xfId="13927" xr:uid="{7F6FE23B-DCB0-49B9-A7C4-D3C58F461038}"/>
    <cellStyle name="Currency 5 3 3 2 3 4" xfId="9709" xr:uid="{56D37990-F048-4830-8445-F2F6F6364422}"/>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656DBB4E-B207-4871-A2DC-41C95EB56290}"/>
    <cellStyle name="Currency 5 3 3 2 4 2 3" xfId="12267" xr:uid="{A70E3F11-5D9C-4353-B36F-A1DFC29B8B9D}"/>
    <cellStyle name="Currency 5 3 3 2 4 3" xfId="5898" xr:uid="{00000000-0005-0000-0000-0000EB0C0000}"/>
    <cellStyle name="Currency 5 3 3 2 4 3 2" xfId="14340" xr:uid="{1ADF9DB5-D57C-488B-BF20-6B261F0ECCA7}"/>
    <cellStyle name="Currency 5 3 3 2 4 4" xfId="10122" xr:uid="{D7AD16C0-40F4-4C57-9D51-115C2C065952}"/>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6CA1BDB6-099A-46CF-B340-0D8FA48CDF4C}"/>
    <cellStyle name="Currency 5 3 3 2 5 2 3" xfId="12680" xr:uid="{769CF99E-7FF7-409A-BE62-A493FB45505E}"/>
    <cellStyle name="Currency 5 3 3 2 5 3" xfId="6311" xr:uid="{00000000-0005-0000-0000-0000EF0C0000}"/>
    <cellStyle name="Currency 5 3 3 2 5 3 2" xfId="14753" xr:uid="{554CCA90-2C29-4F49-866C-C5FF5EE6ECC0}"/>
    <cellStyle name="Currency 5 3 3 2 5 4" xfId="10535" xr:uid="{6BD9735D-525C-41EC-A2B7-D4220E7DF6EA}"/>
    <cellStyle name="Currency 5 3 3 2 6" xfId="2439" xr:uid="{00000000-0005-0000-0000-0000F00C0000}"/>
    <cellStyle name="Currency 5 3 3 2 6 2" xfId="6724" xr:uid="{00000000-0005-0000-0000-0000F10C0000}"/>
    <cellStyle name="Currency 5 3 3 2 6 2 2" xfId="15166" xr:uid="{0EA23382-C888-4253-85F3-10A51EDC1AE4}"/>
    <cellStyle name="Currency 5 3 3 2 6 3" xfId="10948" xr:uid="{07063575-D604-4744-8F92-D66AB2ECCC81}"/>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A50D3BB3-BC83-42C7-8351-C2A909DE0015}"/>
    <cellStyle name="Currency 5 3 3 2 8 3" xfId="11265" xr:uid="{4B20253B-F970-4EB1-8748-14BDA1601839}"/>
    <cellStyle name="Currency 5 3 3 2 9" xfId="4658" xr:uid="{00000000-0005-0000-0000-0000F50C0000}"/>
    <cellStyle name="Currency 5 3 3 2 9 2" xfId="13100" xr:uid="{9DB454BD-B3CC-44FB-9091-3CFAA7FBBB23}"/>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C2932F53-5DF6-4C88-B7A3-E72236A74D03}"/>
    <cellStyle name="Currency 5 3 3 3 2 3" xfId="11440" xr:uid="{3BF5D2E4-A675-46B0-9930-806234F77C58}"/>
    <cellStyle name="Currency 5 3 3 3 3" xfId="5071" xr:uid="{00000000-0005-0000-0000-0000F90C0000}"/>
    <cellStyle name="Currency 5 3 3 3 3 2" xfId="13513" xr:uid="{431671AA-8AA8-42DD-8835-2D4B4F7F4C4C}"/>
    <cellStyle name="Currency 5 3 3 3 4" xfId="9295" xr:uid="{AD22D4F0-CDD4-41A1-A7F2-D8EF6A94E0CE}"/>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8EBE1E5E-3D75-401E-8DD7-2C1763ABB797}"/>
    <cellStyle name="Currency 5 3 3 4 2 3" xfId="11853" xr:uid="{D88D09EE-C295-4A0E-8426-C8EFEF44222D}"/>
    <cellStyle name="Currency 5 3 3 4 3" xfId="5484" xr:uid="{00000000-0005-0000-0000-0000FD0C0000}"/>
    <cellStyle name="Currency 5 3 3 4 3 2" xfId="13926" xr:uid="{CAD5C03E-81AC-4CCB-98D9-A4DB1CA8ED57}"/>
    <cellStyle name="Currency 5 3 3 4 4" xfId="9708" xr:uid="{D6BCE82D-CE33-491C-BD6C-C3B7E02A38B5}"/>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FAC629EF-E92B-451A-9071-32990522AE82}"/>
    <cellStyle name="Currency 5 3 3 5 2 3" xfId="12266" xr:uid="{502B24C2-1AC0-449C-BDE3-3AAB938CC12A}"/>
    <cellStyle name="Currency 5 3 3 5 3" xfId="5897" xr:uid="{00000000-0005-0000-0000-0000010D0000}"/>
    <cellStyle name="Currency 5 3 3 5 3 2" xfId="14339" xr:uid="{38BD85ED-F2D4-4878-A800-49E3FA5FAF98}"/>
    <cellStyle name="Currency 5 3 3 5 4" xfId="10121" xr:uid="{7B6DD3ED-718C-442B-9459-2C5D264AFE8B}"/>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86BA0D11-7FD1-4214-9C4A-A0E4D769473C}"/>
    <cellStyle name="Currency 5 3 3 6 2 3" xfId="12679" xr:uid="{A3CB9127-74BE-4389-A856-3F3546DC8FAC}"/>
    <cellStyle name="Currency 5 3 3 6 3" xfId="6310" xr:uid="{00000000-0005-0000-0000-0000050D0000}"/>
    <cellStyle name="Currency 5 3 3 6 3 2" xfId="14752" xr:uid="{2FACB232-6E07-4068-AD82-B4876CDEF784}"/>
    <cellStyle name="Currency 5 3 3 6 4" xfId="10534" xr:uid="{C77E40D2-FBB1-4BA1-A92F-6AA2BB23404C}"/>
    <cellStyle name="Currency 5 3 3 7" xfId="2438" xr:uid="{00000000-0005-0000-0000-0000060D0000}"/>
    <cellStyle name="Currency 5 3 3 7 2" xfId="6723" xr:uid="{00000000-0005-0000-0000-0000070D0000}"/>
    <cellStyle name="Currency 5 3 3 7 2 2" xfId="15165" xr:uid="{19646603-8DC3-4039-B12F-4F6265340940}"/>
    <cellStyle name="Currency 5 3 3 7 3" xfId="10947" xr:uid="{882999E2-C2C4-4F30-A067-2657AAC4A796}"/>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88A97B66-9B13-4F76-965C-BB687FFE794C}"/>
    <cellStyle name="Currency 5 3 3 9 3" xfId="11264" xr:uid="{2DFB9E90-83E0-483D-B579-5226884AB0E0}"/>
    <cellStyle name="Currency 5 3 4" xfId="216" xr:uid="{00000000-0005-0000-0000-00000B0D0000}"/>
    <cellStyle name="Currency 5 3 4 10" xfId="8883" xr:uid="{291C26AF-91EC-45E0-9555-8BC9691DB54D}"/>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C2CA6D1A-877D-44E9-AAF8-FA9EF407EFF7}"/>
    <cellStyle name="Currency 5 3 4 2 2 3" xfId="11442" xr:uid="{CE59325B-339D-4E2D-984B-5F1EDA8E23F8}"/>
    <cellStyle name="Currency 5 3 4 2 3" xfId="5073" xr:uid="{00000000-0005-0000-0000-00000F0D0000}"/>
    <cellStyle name="Currency 5 3 4 2 3 2" xfId="13515" xr:uid="{C5216F60-A506-450C-8BB0-934CEF753F69}"/>
    <cellStyle name="Currency 5 3 4 2 4" xfId="9297" xr:uid="{CAA063E3-120B-4093-9F2E-CCA03E98DAF6}"/>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42CA044C-4B40-4C71-9976-8167142CC06B}"/>
    <cellStyle name="Currency 5 3 4 3 2 3" xfId="11855" xr:uid="{FB983B03-40DA-4973-826D-766F6EA8BA34}"/>
    <cellStyle name="Currency 5 3 4 3 3" xfId="5486" xr:uid="{00000000-0005-0000-0000-0000130D0000}"/>
    <cellStyle name="Currency 5 3 4 3 3 2" xfId="13928" xr:uid="{6334FBFD-C0C0-410D-871E-966464721680}"/>
    <cellStyle name="Currency 5 3 4 3 4" xfId="9710" xr:uid="{33FAA470-C5E3-41AB-9A14-D0F22A8A2AA0}"/>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C143C13F-5E65-4C97-BC14-7BF1E6532641}"/>
    <cellStyle name="Currency 5 3 4 4 2 3" xfId="12268" xr:uid="{A6C84EF3-A117-49BA-865B-A9081426452C}"/>
    <cellStyle name="Currency 5 3 4 4 3" xfId="5899" xr:uid="{00000000-0005-0000-0000-0000170D0000}"/>
    <cellStyle name="Currency 5 3 4 4 3 2" xfId="14341" xr:uid="{7FFADB72-B2FF-41EF-ABF8-AEF9C6777D87}"/>
    <cellStyle name="Currency 5 3 4 4 4" xfId="10123" xr:uid="{65E6CB19-3C69-4E40-921E-8B83D1B51D76}"/>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682EB6FD-EE03-4249-B927-6DE09C069626}"/>
    <cellStyle name="Currency 5 3 4 5 2 3" xfId="12681" xr:uid="{38C07208-90CF-4C7B-9B81-1F2AB084A7C1}"/>
    <cellStyle name="Currency 5 3 4 5 3" xfId="6312" xr:uid="{00000000-0005-0000-0000-00001B0D0000}"/>
    <cellStyle name="Currency 5 3 4 5 3 2" xfId="14754" xr:uid="{1D712672-6F2D-475A-84D8-715F10D5E544}"/>
    <cellStyle name="Currency 5 3 4 5 4" xfId="10536" xr:uid="{D4CEBC95-2323-42BE-958F-8407CF291E47}"/>
    <cellStyle name="Currency 5 3 4 6" xfId="2440" xr:uid="{00000000-0005-0000-0000-00001C0D0000}"/>
    <cellStyle name="Currency 5 3 4 6 2" xfId="6725" xr:uid="{00000000-0005-0000-0000-00001D0D0000}"/>
    <cellStyle name="Currency 5 3 4 6 2 2" xfId="15167" xr:uid="{E21FD3CE-305E-4F6B-9EA7-D5E652D6801B}"/>
    <cellStyle name="Currency 5 3 4 6 3" xfId="10949" xr:uid="{981E8FEC-089F-49D7-BA6E-186C25CB19C5}"/>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2B0B7DDF-3576-4B2A-9270-948E218B722B}"/>
    <cellStyle name="Currency 5 3 4 8 3" xfId="11266" xr:uid="{D753FC35-A18A-4F64-9114-C1AEF829FF37}"/>
    <cellStyle name="Currency 5 3 4 9" xfId="4659" xr:uid="{00000000-0005-0000-0000-0000210D0000}"/>
    <cellStyle name="Currency 5 3 4 9 2" xfId="13101" xr:uid="{FF25D035-DC61-4843-84CB-B170573AC2C6}"/>
    <cellStyle name="Currency 5 3 5" xfId="217" xr:uid="{00000000-0005-0000-0000-0000220D0000}"/>
    <cellStyle name="Currency 5 3 5 10" xfId="8884" xr:uid="{B81A1C81-1A5A-4501-A3B7-76B84C9A14B0}"/>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2B9B9A8F-71AD-49A0-B1E2-500566409CC7}"/>
    <cellStyle name="Currency 5 3 5 2 2 3" xfId="11443" xr:uid="{EEFD21B7-D292-4C05-BCF6-97B8B789F4F4}"/>
    <cellStyle name="Currency 5 3 5 2 3" xfId="5074" xr:uid="{00000000-0005-0000-0000-0000260D0000}"/>
    <cellStyle name="Currency 5 3 5 2 3 2" xfId="13516" xr:uid="{70BF8B88-7153-4F82-B69F-BAF78B60FD06}"/>
    <cellStyle name="Currency 5 3 5 2 4" xfId="9298" xr:uid="{82F5F905-77AB-4CF6-B901-0191E9E5D6A2}"/>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EC18DD44-F960-4C69-9C83-58578BD76F8D}"/>
    <cellStyle name="Currency 5 3 5 3 2 3" xfId="11856" xr:uid="{765653DB-AAFE-4D69-889A-D19FF8E196F9}"/>
    <cellStyle name="Currency 5 3 5 3 3" xfId="5487" xr:uid="{00000000-0005-0000-0000-00002A0D0000}"/>
    <cellStyle name="Currency 5 3 5 3 3 2" xfId="13929" xr:uid="{ED9C9748-5106-4B93-8109-1853EF915E07}"/>
    <cellStyle name="Currency 5 3 5 3 4" xfId="9711" xr:uid="{EE8C4135-1100-45B3-9B19-698626F9DB68}"/>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AF1A1235-4652-44F4-B9B1-7D55DBD50F9A}"/>
    <cellStyle name="Currency 5 3 5 4 2 3" xfId="12269" xr:uid="{0511A4A2-E71A-4B78-88CF-D6F2805D9C85}"/>
    <cellStyle name="Currency 5 3 5 4 3" xfId="5900" xr:uid="{00000000-0005-0000-0000-00002E0D0000}"/>
    <cellStyle name="Currency 5 3 5 4 3 2" xfId="14342" xr:uid="{E6600FB3-980E-4074-9851-97510C8208C2}"/>
    <cellStyle name="Currency 5 3 5 4 4" xfId="10124" xr:uid="{6A843378-094E-4872-B813-B0D159F46671}"/>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A450D98D-E11B-4FBF-B215-9B450DBF4573}"/>
    <cellStyle name="Currency 5 3 5 5 2 3" xfId="12682" xr:uid="{7DB73CED-C281-42A4-A58B-AC6ECBF0FAA4}"/>
    <cellStyle name="Currency 5 3 5 5 3" xfId="6313" xr:uid="{00000000-0005-0000-0000-0000320D0000}"/>
    <cellStyle name="Currency 5 3 5 5 3 2" xfId="14755" xr:uid="{5FB89380-B066-430C-B8D0-BD48FECCAEED}"/>
    <cellStyle name="Currency 5 3 5 5 4" xfId="10537" xr:uid="{17E6781A-FAF5-4BDD-B451-D77277D9F9A3}"/>
    <cellStyle name="Currency 5 3 5 6" xfId="2441" xr:uid="{00000000-0005-0000-0000-0000330D0000}"/>
    <cellStyle name="Currency 5 3 5 6 2" xfId="6726" xr:uid="{00000000-0005-0000-0000-0000340D0000}"/>
    <cellStyle name="Currency 5 3 5 6 2 2" xfId="15168" xr:uid="{FE8467BB-EE4B-479D-B87E-DA3D10343CB2}"/>
    <cellStyle name="Currency 5 3 5 6 3" xfId="10950" xr:uid="{42B66E42-872F-4FE3-937A-0399EE43244B}"/>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C854496C-1098-443E-A29E-C823D095E626}"/>
    <cellStyle name="Currency 5 3 5 8 3" xfId="11267" xr:uid="{DD4594AC-68F0-4D45-A427-193A318343D9}"/>
    <cellStyle name="Currency 5 3 5 9" xfId="4660" xr:uid="{00000000-0005-0000-0000-0000380D0000}"/>
    <cellStyle name="Currency 5 3 5 9 2" xfId="13102" xr:uid="{048527A6-BA84-49E6-8596-51A1E48D27FB}"/>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4DCC53A9-DEA4-437E-B6E1-CB0626CC904B}"/>
    <cellStyle name="Currency 5 5 11" xfId="8885" xr:uid="{FA30F89F-560D-4983-ADC1-DD21BEDE88D3}"/>
    <cellStyle name="Currency 5 5 2" xfId="220" xr:uid="{00000000-0005-0000-0000-00003D0D0000}"/>
    <cellStyle name="Currency 5 5 2 10" xfId="8886" xr:uid="{3AD62EFD-3876-435A-A2BA-268D7750ED34}"/>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C52A91B4-0814-4A92-A4CB-FFEEFE50E2AF}"/>
    <cellStyle name="Currency 5 5 2 2 2 3" xfId="11445" xr:uid="{C897EEB5-FF62-425E-A246-5872EB8CE42A}"/>
    <cellStyle name="Currency 5 5 2 2 3" xfId="5076" xr:uid="{00000000-0005-0000-0000-0000410D0000}"/>
    <cellStyle name="Currency 5 5 2 2 3 2" xfId="13518" xr:uid="{3CCC0961-DBCF-4039-94E8-17877298AA8B}"/>
    <cellStyle name="Currency 5 5 2 2 4" xfId="9300" xr:uid="{2960B004-3BB0-421A-A1B8-F12F22E1F746}"/>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FF2AE643-39A4-4B5B-9860-01C7A1B2A469}"/>
    <cellStyle name="Currency 5 5 2 3 2 3" xfId="11858" xr:uid="{2C88A2B4-7365-416B-84AD-3284D11C4B48}"/>
    <cellStyle name="Currency 5 5 2 3 3" xfId="5489" xr:uid="{00000000-0005-0000-0000-0000450D0000}"/>
    <cellStyle name="Currency 5 5 2 3 3 2" xfId="13931" xr:uid="{F35E1FAA-8E29-463F-8EAD-86E2CF367138}"/>
    <cellStyle name="Currency 5 5 2 3 4" xfId="9713" xr:uid="{55FED574-C904-4923-AEE5-F20BD1E1A8CD}"/>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85125663-C7F2-423A-A7E1-089E6F5BD04E}"/>
    <cellStyle name="Currency 5 5 2 4 2 3" xfId="12271" xr:uid="{8BFCB086-C52F-43FF-BBB9-2F5A5A5A494D}"/>
    <cellStyle name="Currency 5 5 2 4 3" xfId="5902" xr:uid="{00000000-0005-0000-0000-0000490D0000}"/>
    <cellStyle name="Currency 5 5 2 4 3 2" xfId="14344" xr:uid="{459F56CB-51A3-4193-83A1-C36FB70DC0E0}"/>
    <cellStyle name="Currency 5 5 2 4 4" xfId="10126" xr:uid="{258749DF-2DDD-4BC1-A192-29BAD03F695F}"/>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9ED73BD0-36CC-45AE-BF8B-35DDD7564CAF}"/>
    <cellStyle name="Currency 5 5 2 5 2 3" xfId="12684" xr:uid="{6A4521A6-CB6F-4D5C-A1BF-7A56C844C122}"/>
    <cellStyle name="Currency 5 5 2 5 3" xfId="6315" xr:uid="{00000000-0005-0000-0000-00004D0D0000}"/>
    <cellStyle name="Currency 5 5 2 5 3 2" xfId="14757" xr:uid="{C6776117-78D0-45C4-8765-DA850DBBEC98}"/>
    <cellStyle name="Currency 5 5 2 5 4" xfId="10539" xr:uid="{C03515BF-A399-4684-93B2-2E14494681E1}"/>
    <cellStyle name="Currency 5 5 2 6" xfId="2443" xr:uid="{00000000-0005-0000-0000-00004E0D0000}"/>
    <cellStyle name="Currency 5 5 2 6 2" xfId="6728" xr:uid="{00000000-0005-0000-0000-00004F0D0000}"/>
    <cellStyle name="Currency 5 5 2 6 2 2" xfId="15170" xr:uid="{56DF5BF2-BE80-44A3-A915-0273B4704BBA}"/>
    <cellStyle name="Currency 5 5 2 6 3" xfId="10952" xr:uid="{D80BCB84-4EC7-4D20-A3D8-8090B9EB4004}"/>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645F7847-70D5-40E7-AB79-0C8FCA2822F8}"/>
    <cellStyle name="Currency 5 5 2 8 3" xfId="11269" xr:uid="{F9F699EF-F11A-4D67-B061-A6AE1C9F9A8E}"/>
    <cellStyle name="Currency 5 5 2 9" xfId="4662" xr:uid="{00000000-0005-0000-0000-0000530D0000}"/>
    <cellStyle name="Currency 5 5 2 9 2" xfId="13104" xr:uid="{47195DC3-2AC6-4B8B-BE3C-6BB27A59E710}"/>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B87FCC33-3128-4058-8277-F65DEC43406E}"/>
    <cellStyle name="Currency 5 5 3 2 3" xfId="11444" xr:uid="{E4D5406F-71E1-4869-B34E-373D03D13141}"/>
    <cellStyle name="Currency 5 5 3 3" xfId="5075" xr:uid="{00000000-0005-0000-0000-0000570D0000}"/>
    <cellStyle name="Currency 5 5 3 3 2" xfId="13517" xr:uid="{3FB82E18-1B39-40E3-8496-F975C3D6D445}"/>
    <cellStyle name="Currency 5 5 3 4" xfId="9299" xr:uid="{2FF8D9F6-496B-4A30-8426-CA834BA72CD2}"/>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D63F7E6B-4032-43FE-B9D0-521D03C3F232}"/>
    <cellStyle name="Currency 5 5 4 2 3" xfId="11857" xr:uid="{DD1830F6-8BA0-4AEF-9D81-ABDC5163E848}"/>
    <cellStyle name="Currency 5 5 4 3" xfId="5488" xr:uid="{00000000-0005-0000-0000-00005B0D0000}"/>
    <cellStyle name="Currency 5 5 4 3 2" xfId="13930" xr:uid="{DB2BBD92-D35D-47C6-A3A7-FBCF14B8026D}"/>
    <cellStyle name="Currency 5 5 4 4" xfId="9712" xr:uid="{DDAC73E3-5D85-4C2F-B99E-3F6918527C79}"/>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0B17FB6B-0BE4-48CD-894F-D0FF2B6857F7}"/>
    <cellStyle name="Currency 5 5 5 2 3" xfId="12270" xr:uid="{EE5437B3-7C8F-4C9E-9FC4-10A584DB655C}"/>
    <cellStyle name="Currency 5 5 5 3" xfId="5901" xr:uid="{00000000-0005-0000-0000-00005F0D0000}"/>
    <cellStyle name="Currency 5 5 5 3 2" xfId="14343" xr:uid="{CF005ABA-787A-49F3-99E7-D7DCF0751211}"/>
    <cellStyle name="Currency 5 5 5 4" xfId="10125" xr:uid="{6DDF9750-35F6-48AC-A053-878F5C1C7EA3}"/>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D9224B5F-0044-4A7F-A49A-A9F1233E9569}"/>
    <cellStyle name="Currency 5 5 6 2 3" xfId="12683" xr:uid="{139FF000-DA79-4486-AD0C-D9817DFEC420}"/>
    <cellStyle name="Currency 5 5 6 3" xfId="6314" xr:uid="{00000000-0005-0000-0000-0000630D0000}"/>
    <cellStyle name="Currency 5 5 6 3 2" xfId="14756" xr:uid="{E7AD5652-4692-4390-9429-762F3919FE47}"/>
    <cellStyle name="Currency 5 5 6 4" xfId="10538" xr:uid="{75100554-DC73-4734-A38A-1226F709FE9E}"/>
    <cellStyle name="Currency 5 5 7" xfId="2442" xr:uid="{00000000-0005-0000-0000-0000640D0000}"/>
    <cellStyle name="Currency 5 5 7 2" xfId="6727" xr:uid="{00000000-0005-0000-0000-0000650D0000}"/>
    <cellStyle name="Currency 5 5 7 2 2" xfId="15169" xr:uid="{106BF37A-A8DA-4D83-ACD8-B77CC92F8320}"/>
    <cellStyle name="Currency 5 5 7 3" xfId="10951" xr:uid="{03F6994A-1F62-49DE-9470-5FE45FC1098E}"/>
    <cellStyle name="Currency 5 5 8" xfId="2739" xr:uid="{00000000-0005-0000-0000-0000660D0000}"/>
    <cellStyle name="Currency 5 5 9" xfId="2820" xr:uid="{00000000-0005-0000-0000-0000670D0000}"/>
    <cellStyle name="Currency 5 5 9 2" xfId="7044" xr:uid="{00000000-0005-0000-0000-0000680D0000}"/>
    <cellStyle name="Currency 5 5 9 2 2" xfId="15486" xr:uid="{A4D5F063-AC8B-4B7C-82D3-955C7B4030E1}"/>
    <cellStyle name="Currency 5 5 9 3" xfId="11268" xr:uid="{F6901CB9-FE82-4703-B0B5-2D2C317FDB32}"/>
    <cellStyle name="Currency 5 6" xfId="221" xr:uid="{00000000-0005-0000-0000-0000690D0000}"/>
    <cellStyle name="Currency 5 6 10" xfId="8887" xr:uid="{4375A44A-9639-403F-8CB6-2F3B7E53CAC0}"/>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FEBC357C-FAF5-47CA-BFCD-A65BE42AD69B}"/>
    <cellStyle name="Currency 5 6 2 2 3" xfId="11446" xr:uid="{BEB5799B-3424-44C1-9A69-015ECD2DA1B0}"/>
    <cellStyle name="Currency 5 6 2 3" xfId="5077" xr:uid="{00000000-0005-0000-0000-00006D0D0000}"/>
    <cellStyle name="Currency 5 6 2 3 2" xfId="13519" xr:uid="{8421930E-0A35-4A80-8975-1607F505EFAB}"/>
    <cellStyle name="Currency 5 6 2 4" xfId="9301" xr:uid="{3C674C78-E7FF-4049-B9BA-F1DBE7E03216}"/>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8DAAFED3-B1FA-45CA-89B2-34AD78596E55}"/>
    <cellStyle name="Currency 5 6 3 2 3" xfId="11859" xr:uid="{7464EE3D-A23E-474A-9092-5F2B82E21013}"/>
    <cellStyle name="Currency 5 6 3 3" xfId="5490" xr:uid="{00000000-0005-0000-0000-0000710D0000}"/>
    <cellStyle name="Currency 5 6 3 3 2" xfId="13932" xr:uid="{6A95E145-8E7A-4384-A970-FFBE9F70C26A}"/>
    <cellStyle name="Currency 5 6 3 4" xfId="9714" xr:uid="{F5D5BA8D-CECE-4977-A757-68503F2BE2BB}"/>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AA6E11A9-5B6C-4C3D-8D58-EC32DEB6FBF3}"/>
    <cellStyle name="Currency 5 6 4 2 3" xfId="12272" xr:uid="{94EE3069-959C-4A46-831A-01A65FDC756A}"/>
    <cellStyle name="Currency 5 6 4 3" xfId="5903" xr:uid="{00000000-0005-0000-0000-0000750D0000}"/>
    <cellStyle name="Currency 5 6 4 3 2" xfId="14345" xr:uid="{1DEB6308-10E7-4550-A450-6E4A8C6C99A8}"/>
    <cellStyle name="Currency 5 6 4 4" xfId="10127" xr:uid="{8BEE0C50-C791-4A91-9BAF-BC9C17419F3A}"/>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AE46FDC6-42B3-49A9-8799-617B096844D0}"/>
    <cellStyle name="Currency 5 6 5 2 3" xfId="12685" xr:uid="{7F81E8B9-3866-49DB-973C-CC0DE6AAA85C}"/>
    <cellStyle name="Currency 5 6 5 3" xfId="6316" xr:uid="{00000000-0005-0000-0000-0000790D0000}"/>
    <cellStyle name="Currency 5 6 5 3 2" xfId="14758" xr:uid="{46CC21C3-201E-4425-B999-D3D052D27A39}"/>
    <cellStyle name="Currency 5 6 5 4" xfId="10540" xr:uid="{B8A72029-2F94-44F3-8283-D3F39DB18465}"/>
    <cellStyle name="Currency 5 6 6" xfId="2444" xr:uid="{00000000-0005-0000-0000-00007A0D0000}"/>
    <cellStyle name="Currency 5 6 6 2" xfId="6729" xr:uid="{00000000-0005-0000-0000-00007B0D0000}"/>
    <cellStyle name="Currency 5 6 6 2 2" xfId="15171" xr:uid="{07FBA776-57E0-4665-9CC6-A87FD2EB0A91}"/>
    <cellStyle name="Currency 5 6 6 3" xfId="10953" xr:uid="{66242B04-26B2-4A9F-A723-5EC8BA3970D9}"/>
    <cellStyle name="Currency 5 6 7" xfId="2741" xr:uid="{00000000-0005-0000-0000-00007C0D0000}"/>
    <cellStyle name="Currency 5 6 8" xfId="2822" xr:uid="{00000000-0005-0000-0000-00007D0D0000}"/>
    <cellStyle name="Currency 5 6 8 2" xfId="7046" xr:uid="{00000000-0005-0000-0000-00007E0D0000}"/>
    <cellStyle name="Currency 5 6 8 2 2" xfId="15488" xr:uid="{696D5FDE-A3F8-4D68-B1D6-40ACEE77CF97}"/>
    <cellStyle name="Currency 5 6 8 3" xfId="11270" xr:uid="{96B13010-112B-4097-8C86-088FE9FE0654}"/>
    <cellStyle name="Currency 5 6 9" xfId="4663" xr:uid="{00000000-0005-0000-0000-00007F0D0000}"/>
    <cellStyle name="Currency 5 6 9 2" xfId="13105" xr:uid="{362FE198-9988-4633-9695-A0DC27C5A3FB}"/>
    <cellStyle name="Currency 5 7" xfId="222" xr:uid="{00000000-0005-0000-0000-0000800D0000}"/>
    <cellStyle name="Currency 5 7 10" xfId="8888" xr:uid="{2331510B-707E-4ACD-A0C1-20BAC38DC0A0}"/>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59E362EB-3217-47A3-A96B-795BB4C80243}"/>
    <cellStyle name="Currency 5 7 2 2 3" xfId="11447" xr:uid="{602F8EFE-2EEF-4180-A71A-9957B73CFE07}"/>
    <cellStyle name="Currency 5 7 2 3" xfId="5078" xr:uid="{00000000-0005-0000-0000-0000840D0000}"/>
    <cellStyle name="Currency 5 7 2 3 2" xfId="13520" xr:uid="{A2D19901-0618-481A-B3D8-0B73C777FC45}"/>
    <cellStyle name="Currency 5 7 2 4" xfId="9302" xr:uid="{30DF5139-B116-4294-B2F4-1106456B9D4B}"/>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B283DFD0-D1C4-4422-BFD5-268008A00B3F}"/>
    <cellStyle name="Currency 5 7 3 2 3" xfId="11860" xr:uid="{C49AC34D-835D-4929-9684-A47CED9BF616}"/>
    <cellStyle name="Currency 5 7 3 3" xfId="5491" xr:uid="{00000000-0005-0000-0000-0000880D0000}"/>
    <cellStyle name="Currency 5 7 3 3 2" xfId="13933" xr:uid="{4016CD15-1914-42E5-A1FB-418FF945A313}"/>
    <cellStyle name="Currency 5 7 3 4" xfId="9715" xr:uid="{F3F30EDB-4071-423E-AB78-5BD63A530A9C}"/>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00667E7B-BDE3-4201-B2D6-217633124D8A}"/>
    <cellStyle name="Currency 5 7 4 2 3" xfId="12273" xr:uid="{86F96E31-C514-4CBF-A31A-4F33C4464141}"/>
    <cellStyle name="Currency 5 7 4 3" xfId="5904" xr:uid="{00000000-0005-0000-0000-00008C0D0000}"/>
    <cellStyle name="Currency 5 7 4 3 2" xfId="14346" xr:uid="{FF8203D4-A9E7-4872-9DA7-B41BBDACF24F}"/>
    <cellStyle name="Currency 5 7 4 4" xfId="10128" xr:uid="{8F1733EF-4205-49A7-847D-CC6A33295EB0}"/>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0A49C9FF-35DB-4FEA-AD4B-994C24204DC4}"/>
    <cellStyle name="Currency 5 7 5 2 3" xfId="12686" xr:uid="{DE5FB75B-A772-4AC1-B882-A5AC24F6E513}"/>
    <cellStyle name="Currency 5 7 5 3" xfId="6317" xr:uid="{00000000-0005-0000-0000-0000900D0000}"/>
    <cellStyle name="Currency 5 7 5 3 2" xfId="14759" xr:uid="{F1F4DA84-0F02-47AB-BB4E-4E4B56068921}"/>
    <cellStyle name="Currency 5 7 5 4" xfId="10541" xr:uid="{90FB0071-C197-4F4D-8CB8-1062EF2EE971}"/>
    <cellStyle name="Currency 5 7 6" xfId="2445" xr:uid="{00000000-0005-0000-0000-0000910D0000}"/>
    <cellStyle name="Currency 5 7 6 2" xfId="6730" xr:uid="{00000000-0005-0000-0000-0000920D0000}"/>
    <cellStyle name="Currency 5 7 6 2 2" xfId="15172" xr:uid="{03447A35-B32E-49FE-8FB1-6E88640CA310}"/>
    <cellStyle name="Currency 5 7 6 3" xfId="10954" xr:uid="{2AA441D1-6F58-422F-BE8D-39FA7D91919F}"/>
    <cellStyle name="Currency 5 7 7" xfId="2742" xr:uid="{00000000-0005-0000-0000-0000930D0000}"/>
    <cellStyle name="Currency 5 7 8" xfId="2823" xr:uid="{00000000-0005-0000-0000-0000940D0000}"/>
    <cellStyle name="Currency 5 7 8 2" xfId="7047" xr:uid="{00000000-0005-0000-0000-0000950D0000}"/>
    <cellStyle name="Currency 5 7 8 2 2" xfId="15489" xr:uid="{51A78836-C38A-4450-A26D-273F239BD9F4}"/>
    <cellStyle name="Currency 5 7 8 3" xfId="11271" xr:uid="{F0430511-F7C5-4D2A-BD14-AF8DDDB6C1E0}"/>
    <cellStyle name="Currency 5 7 9" xfId="4664" xr:uid="{00000000-0005-0000-0000-0000960D0000}"/>
    <cellStyle name="Currency 5 7 9 2" xfId="13106" xr:uid="{B02EC5D4-4E94-43DB-A226-2E6294612C7D}"/>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12C56085-5CE8-48F7-8403-568F353F3D08}"/>
    <cellStyle name="Normal 12 10 3" xfId="10955" xr:uid="{3E41BFF7-3BFB-41A4-AD51-5ABBF5E24D93}"/>
    <cellStyle name="Normal 12 11" xfId="4665" xr:uid="{00000000-0005-0000-0000-0000CC0D0000}"/>
    <cellStyle name="Normal 12 11 2" xfId="13107" xr:uid="{01C815F4-90A6-47B2-8A50-E69D25D97105}"/>
    <cellStyle name="Normal 12 12" xfId="8889" xr:uid="{3ED404CC-623B-4FCD-8BA9-C20C4FA962A2}"/>
    <cellStyle name="Normal 12 2" xfId="260" xr:uid="{00000000-0005-0000-0000-0000CD0D0000}"/>
    <cellStyle name="Normal 12 2 10" xfId="8890" xr:uid="{8CB13173-203A-4134-8CCB-E3240933DFCB}"/>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555027BB-BB28-4F18-A2F5-27C0CBEDF365}"/>
    <cellStyle name="Normal 12 2 2 2 2 2 3" xfId="11451" xr:uid="{E230CC13-B10C-4624-A189-CCA3E13A1E2C}"/>
    <cellStyle name="Normal 12 2 2 2 2 3" xfId="5082" xr:uid="{00000000-0005-0000-0000-0000D30D0000}"/>
    <cellStyle name="Normal 12 2 2 2 2 3 2" xfId="13524" xr:uid="{85C0550D-F297-4733-BA34-7B21C41B69F1}"/>
    <cellStyle name="Normal 12 2 2 2 2 4" xfId="9306" xr:uid="{3198F952-8CB2-4391-9B6F-509FAEF2CBA1}"/>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2F4D8AE3-1309-4A00-BB98-8298D912DF8E}"/>
    <cellStyle name="Normal 12 2 2 2 3 2 3" xfId="11864" xr:uid="{A67661C5-E5FC-4F19-B13C-9B4BEF9731B3}"/>
    <cellStyle name="Normal 12 2 2 2 3 3" xfId="5495" xr:uid="{00000000-0005-0000-0000-0000D70D0000}"/>
    <cellStyle name="Normal 12 2 2 2 3 3 2" xfId="13937" xr:uid="{1B15F5A6-560F-4771-8B2E-BEE19E2D1911}"/>
    <cellStyle name="Normal 12 2 2 2 3 4" xfId="9719" xr:uid="{11D23FCA-0F77-4E23-B0A8-48A637305F4F}"/>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988179F1-EF32-4278-8DBD-639FAC8EFF4F}"/>
    <cellStyle name="Normal 12 2 2 2 4 2 3" xfId="12277" xr:uid="{9E08BD90-C018-4EE8-9ABA-A0E7C0A97525}"/>
    <cellStyle name="Normal 12 2 2 2 4 3" xfId="5908" xr:uid="{00000000-0005-0000-0000-0000DB0D0000}"/>
    <cellStyle name="Normal 12 2 2 2 4 3 2" xfId="14350" xr:uid="{FAFC2C35-BE78-4E3F-83DE-426DB3308186}"/>
    <cellStyle name="Normal 12 2 2 2 4 4" xfId="10132" xr:uid="{F2C57C1B-B2C4-4E79-94CF-F9E8FBBB2921}"/>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B4DC065D-4D21-422B-81D0-2338A575FDA8}"/>
    <cellStyle name="Normal 12 2 2 2 5 2 3" xfId="12690" xr:uid="{049D22E8-3A4A-4BD6-8E9E-9FEB349FBDDC}"/>
    <cellStyle name="Normal 12 2 2 2 5 3" xfId="6321" xr:uid="{00000000-0005-0000-0000-0000DF0D0000}"/>
    <cellStyle name="Normal 12 2 2 2 5 3 2" xfId="14763" xr:uid="{89CD8B75-307C-4B8E-A86A-B3C3A9B5BE6D}"/>
    <cellStyle name="Normal 12 2 2 2 5 4" xfId="10545" xr:uid="{74C82437-A7F3-4364-A1BB-227A6EE59B03}"/>
    <cellStyle name="Normal 12 2 2 2 6" xfId="2450" xr:uid="{00000000-0005-0000-0000-0000E00D0000}"/>
    <cellStyle name="Normal 12 2 2 2 6 2" xfId="6734" xr:uid="{00000000-0005-0000-0000-0000E10D0000}"/>
    <cellStyle name="Normal 12 2 2 2 6 2 2" xfId="15176" xr:uid="{61EA4463-5193-4A47-980D-EB8270E796D0}"/>
    <cellStyle name="Normal 12 2 2 2 6 3" xfId="10958" xr:uid="{E838BF9D-3731-43FD-B4F7-85985E46BCA8}"/>
    <cellStyle name="Normal 12 2 2 2 7" xfId="4668" xr:uid="{00000000-0005-0000-0000-0000E20D0000}"/>
    <cellStyle name="Normal 12 2 2 2 7 2" xfId="13110" xr:uid="{1EB2D0A6-F7B2-4EB6-8C22-025688BF610E}"/>
    <cellStyle name="Normal 12 2 2 2 8" xfId="8892" xr:uid="{97AB28BD-6906-4E5D-A303-0966491A8DDC}"/>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42B16342-E5B1-4BEA-A08D-44FD9B530AE0}"/>
    <cellStyle name="Normal 12 2 2 3 2 3" xfId="11450" xr:uid="{B79F6262-F26A-48C0-A04F-49A351AE2906}"/>
    <cellStyle name="Normal 12 2 2 3 3" xfId="5081" xr:uid="{00000000-0005-0000-0000-0000E60D0000}"/>
    <cellStyle name="Normal 12 2 2 3 3 2" xfId="13523" xr:uid="{7F519FB2-101A-458E-8D67-90D852DBAC6A}"/>
    <cellStyle name="Normal 12 2 2 3 4" xfId="9305" xr:uid="{83403A6A-6EC0-4A80-A6C2-333B1A5FC4B1}"/>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B2313372-0CA7-48AA-9AFB-A5A0736F9373}"/>
    <cellStyle name="Normal 12 2 2 4 2 3" xfId="11863" xr:uid="{7435E9B3-E042-4DFC-B352-E00C641FA5A5}"/>
    <cellStyle name="Normal 12 2 2 4 3" xfId="5494" xr:uid="{00000000-0005-0000-0000-0000EA0D0000}"/>
    <cellStyle name="Normal 12 2 2 4 3 2" xfId="13936" xr:uid="{E498AB34-8515-4711-ADE5-FA1A84575534}"/>
    <cellStyle name="Normal 12 2 2 4 4" xfId="9718" xr:uid="{E108A0D6-74FF-497E-91EE-E52766F1D9D3}"/>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5716370C-2C80-482B-BDC4-876033808665}"/>
    <cellStyle name="Normal 12 2 2 5 2 3" xfId="12276" xr:uid="{8DB98081-F010-4CA5-AA2A-DEFA24046D8B}"/>
    <cellStyle name="Normal 12 2 2 5 3" xfId="5907" xr:uid="{00000000-0005-0000-0000-0000EE0D0000}"/>
    <cellStyle name="Normal 12 2 2 5 3 2" xfId="14349" xr:uid="{943E2125-0B4F-435C-B6D6-026673276EC8}"/>
    <cellStyle name="Normal 12 2 2 5 4" xfId="10131" xr:uid="{25537D96-2B0A-49AB-BCE4-56058ED01CA2}"/>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C3301370-CD74-49AB-B495-F3051C3F82BB}"/>
    <cellStyle name="Normal 12 2 2 6 2 3" xfId="12689" xr:uid="{765B813E-7E43-4B04-94B2-45A7BEB0EBFF}"/>
    <cellStyle name="Normal 12 2 2 6 3" xfId="6320" xr:uid="{00000000-0005-0000-0000-0000F20D0000}"/>
    <cellStyle name="Normal 12 2 2 6 3 2" xfId="14762" xr:uid="{8D2002FD-95AF-4710-A41F-A8E951B0F97E}"/>
    <cellStyle name="Normal 12 2 2 6 4" xfId="10544" xr:uid="{F47D02E7-688B-4FF7-B5AB-047FCE6074C2}"/>
    <cellStyle name="Normal 12 2 2 7" xfId="2449" xr:uid="{00000000-0005-0000-0000-0000F30D0000}"/>
    <cellStyle name="Normal 12 2 2 7 2" xfId="6733" xr:uid="{00000000-0005-0000-0000-0000F40D0000}"/>
    <cellStyle name="Normal 12 2 2 7 2 2" xfId="15175" xr:uid="{6D4C6FF8-1FFE-405B-ADF5-8FE95F481D8E}"/>
    <cellStyle name="Normal 12 2 2 7 3" xfId="10957" xr:uid="{CD2294E8-FA07-435C-A05D-29AEA1A0D8B1}"/>
    <cellStyle name="Normal 12 2 2 8" xfId="4667" xr:uid="{00000000-0005-0000-0000-0000F50D0000}"/>
    <cellStyle name="Normal 12 2 2 8 2" xfId="13109" xr:uid="{AFC52CE8-EAAD-4C1B-83AF-71C83B055380}"/>
    <cellStyle name="Normal 12 2 2 9" xfId="8891" xr:uid="{C3568B40-4FC4-4D7E-8142-BF78BA1DAE26}"/>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9E828348-1B6C-4BBF-A1D1-0257CBD8A5F7}"/>
    <cellStyle name="Normal 12 2 3 2 2 3" xfId="11452" xr:uid="{045413B8-1184-4A60-8B48-BD8B5625B607}"/>
    <cellStyle name="Normal 12 2 3 2 3" xfId="5083" xr:uid="{00000000-0005-0000-0000-0000FA0D0000}"/>
    <cellStyle name="Normal 12 2 3 2 3 2" xfId="13525" xr:uid="{4EACD672-3684-453D-8182-C3CE33F49BF4}"/>
    <cellStyle name="Normal 12 2 3 2 4" xfId="9307" xr:uid="{2957535D-186E-4AAD-95AD-1933C28893BE}"/>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8197F47B-1503-4596-B898-554F61B8BBDA}"/>
    <cellStyle name="Normal 12 2 3 3 2 3" xfId="11865" xr:uid="{033873BD-3983-4411-BB42-B16F5DF901C7}"/>
    <cellStyle name="Normal 12 2 3 3 3" xfId="5496" xr:uid="{00000000-0005-0000-0000-0000FE0D0000}"/>
    <cellStyle name="Normal 12 2 3 3 3 2" xfId="13938" xr:uid="{CECC9B08-A0BC-407F-9EDF-96AE3B51C64C}"/>
    <cellStyle name="Normal 12 2 3 3 4" xfId="9720" xr:uid="{3AA1E528-F1F9-49DC-962E-983BB63BA76C}"/>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C939FECA-4DC1-4EE0-96B2-C57FBD6D92AB}"/>
    <cellStyle name="Normal 12 2 3 4 2 3" xfId="12278" xr:uid="{4B58215B-3A51-4478-BD27-A8A62B75FD78}"/>
    <cellStyle name="Normal 12 2 3 4 3" xfId="5909" xr:uid="{00000000-0005-0000-0000-0000020E0000}"/>
    <cellStyle name="Normal 12 2 3 4 3 2" xfId="14351" xr:uid="{B69B9F43-970B-4601-8A39-A2272C39EDA6}"/>
    <cellStyle name="Normal 12 2 3 4 4" xfId="10133" xr:uid="{610D15FF-12AB-4DBD-BE03-96125590AF18}"/>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E22D43CC-B500-4DE7-8442-44BD6E71BE5C}"/>
    <cellStyle name="Normal 12 2 3 5 2 3" xfId="12691" xr:uid="{CA19E504-B1C9-4CCC-8F7C-232F2BA21D9A}"/>
    <cellStyle name="Normal 12 2 3 5 3" xfId="6322" xr:uid="{00000000-0005-0000-0000-0000060E0000}"/>
    <cellStyle name="Normal 12 2 3 5 3 2" xfId="14764" xr:uid="{EE3C1945-39BE-40DA-8A5B-DF3E07FF4A15}"/>
    <cellStyle name="Normal 12 2 3 5 4" xfId="10546" xr:uid="{91C5F03D-D69E-424C-B435-EB7B1669A564}"/>
    <cellStyle name="Normal 12 2 3 6" xfId="2451" xr:uid="{00000000-0005-0000-0000-0000070E0000}"/>
    <cellStyle name="Normal 12 2 3 6 2" xfId="6735" xr:uid="{00000000-0005-0000-0000-0000080E0000}"/>
    <cellStyle name="Normal 12 2 3 6 2 2" xfId="15177" xr:uid="{405D29F2-8A05-481D-B3AF-4D18758977D1}"/>
    <cellStyle name="Normal 12 2 3 6 3" xfId="10959" xr:uid="{C5CEDC3C-6F98-4328-9F55-85CA293E788D}"/>
    <cellStyle name="Normal 12 2 3 7" xfId="4669" xr:uid="{00000000-0005-0000-0000-0000090E0000}"/>
    <cellStyle name="Normal 12 2 3 7 2" xfId="13111" xr:uid="{1D42C49E-9F1C-4D8B-97AA-A66EF086BADA}"/>
    <cellStyle name="Normal 12 2 3 8" xfId="8893" xr:uid="{193219BF-0129-4336-8BCA-014CC53703EE}"/>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1DD1E2E0-75BB-45C3-A9A3-3B2F79E5BE16}"/>
    <cellStyle name="Normal 12 2 4 2 3" xfId="11449" xr:uid="{3860CD16-82EC-41FE-964D-A3A8F3D7248D}"/>
    <cellStyle name="Normal 12 2 4 3" xfId="5080" xr:uid="{00000000-0005-0000-0000-00000D0E0000}"/>
    <cellStyle name="Normal 12 2 4 3 2" xfId="13522" xr:uid="{9793F15A-14D7-46FA-85AA-6AE42CF977B6}"/>
    <cellStyle name="Normal 12 2 4 4" xfId="9304" xr:uid="{755B3D2B-F2C3-4091-A0B7-DC75BBD782BD}"/>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C9A3E92B-6AC5-4825-8303-028114A00471}"/>
    <cellStyle name="Normal 12 2 5 2 3" xfId="11862" xr:uid="{2CFE32BD-7AA8-466D-B695-AC36633F0271}"/>
    <cellStyle name="Normal 12 2 5 3" xfId="5493" xr:uid="{00000000-0005-0000-0000-0000110E0000}"/>
    <cellStyle name="Normal 12 2 5 3 2" xfId="13935" xr:uid="{EDE5B9E8-7BFC-4D55-9D37-AA6FEE18B380}"/>
    <cellStyle name="Normal 12 2 5 4" xfId="9717" xr:uid="{2DE25C52-9FF9-481B-9295-FDD785F1A316}"/>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8ED258CF-DEEF-4C52-B4EA-7488CB77E67F}"/>
    <cellStyle name="Normal 12 2 6 2 3" xfId="12275" xr:uid="{AA0B8C97-B44B-470A-9078-2E6A15CBFF13}"/>
    <cellStyle name="Normal 12 2 6 3" xfId="5906" xr:uid="{00000000-0005-0000-0000-0000150E0000}"/>
    <cellStyle name="Normal 12 2 6 3 2" xfId="14348" xr:uid="{43E4E336-62D8-4836-B9C9-B005F5A0602E}"/>
    <cellStyle name="Normal 12 2 6 4" xfId="10130" xr:uid="{09C3CED4-C7EE-48C6-9591-843F18303E48}"/>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AA35F913-8F82-4DF8-B657-D97D8F798285}"/>
    <cellStyle name="Normal 12 2 7 2 3" xfId="12688" xr:uid="{46EE1AAF-DCA6-4ECB-8C1D-D1FCECE5A20C}"/>
    <cellStyle name="Normal 12 2 7 3" xfId="6319" xr:uid="{00000000-0005-0000-0000-0000190E0000}"/>
    <cellStyle name="Normal 12 2 7 3 2" xfId="14761" xr:uid="{FDA1F552-FE5F-40FF-BA3D-35805475222C}"/>
    <cellStyle name="Normal 12 2 7 4" xfId="10543" xr:uid="{6D8373E4-E37F-48E4-B8E8-81B14D9B697F}"/>
    <cellStyle name="Normal 12 2 8" xfId="2448" xr:uid="{00000000-0005-0000-0000-00001A0E0000}"/>
    <cellStyle name="Normal 12 2 8 2" xfId="6732" xr:uid="{00000000-0005-0000-0000-00001B0E0000}"/>
    <cellStyle name="Normal 12 2 8 2 2" xfId="15174" xr:uid="{DA6904BF-516F-47C6-BF6F-ACF6EDC551F6}"/>
    <cellStyle name="Normal 12 2 8 3" xfId="10956" xr:uid="{D4C7F27E-92F3-4EA0-AE3C-C85A436F9604}"/>
    <cellStyle name="Normal 12 2 9" xfId="4666" xr:uid="{00000000-0005-0000-0000-00001C0E0000}"/>
    <cellStyle name="Normal 12 2 9 2" xfId="13108" xr:uid="{805BE841-0A6B-4FA0-B80B-34C47339A39B}"/>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248A3A80-71E6-48C6-B52C-3658F0963D53}"/>
    <cellStyle name="Normal 12 3 2 2 2 3" xfId="11454" xr:uid="{F7ED2512-14CD-4D94-95DD-56302C3B5648}"/>
    <cellStyle name="Normal 12 3 2 2 3" xfId="5085" xr:uid="{00000000-0005-0000-0000-0000220E0000}"/>
    <cellStyle name="Normal 12 3 2 2 3 2" xfId="13527" xr:uid="{318A7374-BEA3-477A-A4F1-C57A002F71FC}"/>
    <cellStyle name="Normal 12 3 2 2 4" xfId="9309" xr:uid="{32D06645-73BC-47D1-B2A3-54D38F6DA58F}"/>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A25204E3-A259-4570-AA9F-159E7EA96DE6}"/>
    <cellStyle name="Normal 12 3 2 3 2 3" xfId="11867" xr:uid="{D1E46DD6-EEAC-4FBF-96A5-D84E188473A4}"/>
    <cellStyle name="Normal 12 3 2 3 3" xfId="5498" xr:uid="{00000000-0005-0000-0000-0000260E0000}"/>
    <cellStyle name="Normal 12 3 2 3 3 2" xfId="13940" xr:uid="{D2BC8336-426C-46A5-AF9C-7DE2817D43E1}"/>
    <cellStyle name="Normal 12 3 2 3 4" xfId="9722" xr:uid="{FB9C673A-5B51-4D31-B145-8C97B7D33A8A}"/>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9D4EFD1D-B79F-4A5F-A2AE-AB53387F63C3}"/>
    <cellStyle name="Normal 12 3 2 4 2 3" xfId="12280" xr:uid="{D1762391-9CFC-4648-8614-3A09580EF866}"/>
    <cellStyle name="Normal 12 3 2 4 3" xfId="5911" xr:uid="{00000000-0005-0000-0000-00002A0E0000}"/>
    <cellStyle name="Normal 12 3 2 4 3 2" xfId="14353" xr:uid="{AD5DEF76-794D-49C6-B2E8-80CAFDE5B446}"/>
    <cellStyle name="Normal 12 3 2 4 4" xfId="10135" xr:uid="{47F96AFA-989A-49B6-A513-DDF621255E01}"/>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F7BFE006-8061-4EB7-9460-755F4D31B3A0}"/>
    <cellStyle name="Normal 12 3 2 5 2 3" xfId="12693" xr:uid="{85400BA0-287D-4154-A458-B3073FB7664D}"/>
    <cellStyle name="Normal 12 3 2 5 3" xfId="6324" xr:uid="{00000000-0005-0000-0000-00002E0E0000}"/>
    <cellStyle name="Normal 12 3 2 5 3 2" xfId="14766" xr:uid="{9A50E348-08EA-4094-87D5-F14C14277945}"/>
    <cellStyle name="Normal 12 3 2 5 4" xfId="10548" xr:uid="{1F24FC06-40E3-4AD5-BAD2-D20F1BCCB308}"/>
    <cellStyle name="Normal 12 3 2 6" xfId="2453" xr:uid="{00000000-0005-0000-0000-00002F0E0000}"/>
    <cellStyle name="Normal 12 3 2 6 2" xfId="6737" xr:uid="{00000000-0005-0000-0000-0000300E0000}"/>
    <cellStyle name="Normal 12 3 2 6 2 2" xfId="15179" xr:uid="{F0C77193-59F0-4C30-BDE1-49F05FAF84DE}"/>
    <cellStyle name="Normal 12 3 2 6 3" xfId="10961" xr:uid="{8595EB79-FA1D-45ED-84C5-62FA84B64A04}"/>
    <cellStyle name="Normal 12 3 2 7" xfId="4671" xr:uid="{00000000-0005-0000-0000-0000310E0000}"/>
    <cellStyle name="Normal 12 3 2 7 2" xfId="13113" xr:uid="{EC61B434-2F8E-487B-B277-02163DE4D691}"/>
    <cellStyle name="Normal 12 3 2 8" xfId="8895" xr:uid="{AF0B8972-6A28-4544-B196-F8E0F333A695}"/>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063CBFFC-68D6-4F15-B748-C5AE30651574}"/>
    <cellStyle name="Normal 12 3 3 2 3" xfId="11453" xr:uid="{EA3D2302-7A78-45D5-9E03-2547D9ABB25D}"/>
    <cellStyle name="Normal 12 3 3 3" xfId="5084" xr:uid="{00000000-0005-0000-0000-0000350E0000}"/>
    <cellStyle name="Normal 12 3 3 3 2" xfId="13526" xr:uid="{2B7688BB-29D4-47C9-B9D7-DCDCF36C1AE9}"/>
    <cellStyle name="Normal 12 3 3 4" xfId="9308" xr:uid="{90D5B923-8067-4110-85E8-8F411008B30C}"/>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BE2B436C-BB03-4EE4-A11C-3F48DA9A11BE}"/>
    <cellStyle name="Normal 12 3 4 2 3" xfId="11866" xr:uid="{18AF13C9-AE06-44ED-AB87-E3DB01CB2E39}"/>
    <cellStyle name="Normal 12 3 4 3" xfId="5497" xr:uid="{00000000-0005-0000-0000-0000390E0000}"/>
    <cellStyle name="Normal 12 3 4 3 2" xfId="13939" xr:uid="{4C6BB1D2-6D5A-4CDF-893A-15CC7C636C71}"/>
    <cellStyle name="Normal 12 3 4 4" xfId="9721" xr:uid="{EAE4F5FE-4565-430C-8B3F-F51FACFAEF74}"/>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5921C3E7-0540-4F14-8BC9-54999D99B1A2}"/>
    <cellStyle name="Normal 12 3 5 2 3" xfId="12279" xr:uid="{616B81F9-DA5A-4805-A08B-9AFD0DC24CE6}"/>
    <cellStyle name="Normal 12 3 5 3" xfId="5910" xr:uid="{00000000-0005-0000-0000-00003D0E0000}"/>
    <cellStyle name="Normal 12 3 5 3 2" xfId="14352" xr:uid="{11382360-AB9B-47BA-9188-C5C4E264A38B}"/>
    <cellStyle name="Normal 12 3 5 4" xfId="10134" xr:uid="{015C16A6-7256-44DD-B38E-30C20E77F17A}"/>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1348178A-677C-4E28-AF8B-48AE6CC1533D}"/>
    <cellStyle name="Normal 12 3 6 2 3" xfId="12692" xr:uid="{2C645590-E196-4494-A171-D9359599711A}"/>
    <cellStyle name="Normal 12 3 6 3" xfId="6323" xr:uid="{00000000-0005-0000-0000-0000410E0000}"/>
    <cellStyle name="Normal 12 3 6 3 2" xfId="14765" xr:uid="{250F1322-4FF8-4A91-843C-F4E021B49AA8}"/>
    <cellStyle name="Normal 12 3 6 4" xfId="10547" xr:uid="{9B80159F-A0FE-4A7A-891E-70FCADDEEB24}"/>
    <cellStyle name="Normal 12 3 7" xfId="2452" xr:uid="{00000000-0005-0000-0000-0000420E0000}"/>
    <cellStyle name="Normal 12 3 7 2" xfId="6736" xr:uid="{00000000-0005-0000-0000-0000430E0000}"/>
    <cellStyle name="Normal 12 3 7 2 2" xfId="15178" xr:uid="{B7E44705-2C91-4E2B-B19A-FC2682BE7C66}"/>
    <cellStyle name="Normal 12 3 7 3" xfId="10960" xr:uid="{6CAE16F6-82D6-4470-A9DB-2DFC5413A64D}"/>
    <cellStyle name="Normal 12 3 8" xfId="4670" xr:uid="{00000000-0005-0000-0000-0000440E0000}"/>
    <cellStyle name="Normal 12 3 8 2" xfId="13112" xr:uid="{F27033F6-9156-4821-8576-9D7927DD1760}"/>
    <cellStyle name="Normal 12 3 9" xfId="8894" xr:uid="{10C62798-7F0E-4C3D-A562-6562A40DBF53}"/>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C04827EC-A020-44F8-B5FA-39A7D01CC5FB}"/>
    <cellStyle name="Normal 12 4 2 2 3" xfId="11455" xr:uid="{5CA10AA0-086B-4076-AC02-CFF9467C2EDE}"/>
    <cellStyle name="Normal 12 4 2 3" xfId="5086" xr:uid="{00000000-0005-0000-0000-0000490E0000}"/>
    <cellStyle name="Normal 12 4 2 3 2" xfId="13528" xr:uid="{1564C431-4012-454B-A9CC-DC4E581BEA5C}"/>
    <cellStyle name="Normal 12 4 2 4" xfId="9310" xr:uid="{9B36BDA7-7F83-4B20-ACF4-7E4F209E93BC}"/>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3CD297A0-63FF-4738-81F4-1E0BCAFF9F30}"/>
    <cellStyle name="Normal 12 4 3 2 3" xfId="11868" xr:uid="{C96DDA40-2D39-4232-8A68-D67C9BF3DD5E}"/>
    <cellStyle name="Normal 12 4 3 3" xfId="5499" xr:uid="{00000000-0005-0000-0000-00004D0E0000}"/>
    <cellStyle name="Normal 12 4 3 3 2" xfId="13941" xr:uid="{F4360F9B-29C5-4C66-9E92-BDE2A97EDBF0}"/>
    <cellStyle name="Normal 12 4 3 4" xfId="9723" xr:uid="{9ED4F2A8-7A10-47AB-8D1D-7AD49DB19221}"/>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C672D3E2-9CD0-4BFD-BAE0-156A246BCB65}"/>
    <cellStyle name="Normal 12 4 4 2 3" xfId="12281" xr:uid="{5F92377D-E70E-46BA-840B-A3C7B820CDCF}"/>
    <cellStyle name="Normal 12 4 4 3" xfId="5912" xr:uid="{00000000-0005-0000-0000-0000510E0000}"/>
    <cellStyle name="Normal 12 4 4 3 2" xfId="14354" xr:uid="{E7743EC8-D6CC-4336-9876-DC6CAAD6F5A2}"/>
    <cellStyle name="Normal 12 4 4 4" xfId="10136" xr:uid="{5D0F8E3D-E867-4BB9-B9F3-9B799136AFEB}"/>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50B672F5-BC7A-4FF7-A037-097158C3938E}"/>
    <cellStyle name="Normal 12 4 5 2 3" xfId="12694" xr:uid="{A5DDAF2C-8C3A-4A36-AE87-F622DAB01EF3}"/>
    <cellStyle name="Normal 12 4 5 3" xfId="6325" xr:uid="{00000000-0005-0000-0000-0000550E0000}"/>
    <cellStyle name="Normal 12 4 5 3 2" xfId="14767" xr:uid="{1168A773-A31B-462A-A7F1-7F5C83BAB553}"/>
    <cellStyle name="Normal 12 4 5 4" xfId="10549" xr:uid="{E75C18C9-F778-45DB-8246-051BF66FC4FE}"/>
    <cellStyle name="Normal 12 4 6" xfId="2454" xr:uid="{00000000-0005-0000-0000-0000560E0000}"/>
    <cellStyle name="Normal 12 4 6 2" xfId="6738" xr:uid="{00000000-0005-0000-0000-0000570E0000}"/>
    <cellStyle name="Normal 12 4 6 2 2" xfId="15180" xr:uid="{7B609C87-B59D-47D6-BB6F-38911FB0960C}"/>
    <cellStyle name="Normal 12 4 6 3" xfId="10962" xr:uid="{6033790B-C61C-4C10-8A39-143AEEA9AD09}"/>
    <cellStyle name="Normal 12 4 7" xfId="4672" xr:uid="{00000000-0005-0000-0000-0000580E0000}"/>
    <cellStyle name="Normal 12 4 7 2" xfId="13114" xr:uid="{63F8F856-69B5-45FB-848B-06A17042D5BB}"/>
    <cellStyle name="Normal 12 4 8" xfId="8896" xr:uid="{FF235391-925A-4F86-87BF-C41EEE8308CE}"/>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1F29F82D-C7EE-4C6A-AD5C-1EF4CDFAD249}"/>
    <cellStyle name="Normal 12 6 2 3" xfId="11448" xr:uid="{B00EF14A-D4D6-4793-A6C4-8CCEFA417645}"/>
    <cellStyle name="Normal 12 6 3" xfId="5079" xr:uid="{00000000-0005-0000-0000-00005D0E0000}"/>
    <cellStyle name="Normal 12 6 3 2" xfId="13521" xr:uid="{3AB721AE-8CB3-4D3F-9F5C-E04966A089E1}"/>
    <cellStyle name="Normal 12 6 4" xfId="9303" xr:uid="{4C20B818-20D3-4B4A-9699-6F5AFA26B0B4}"/>
    <cellStyle name="Normal 12 7" xfId="1183" xr:uid="{00000000-0005-0000-0000-00005E0E0000}"/>
    <cellStyle name="Normal 12 7 2" xfId="3414" xr:uid="{00000000-0005-0000-0000-00005F0E0000}"/>
    <cellStyle name="Normal 12 7 2 2" xfId="7637" xr:uid="{00000000-0005-0000-0000-0000600E0000}"/>
    <cellStyle name="Normal 12 7 2 2 2" xfId="16079" xr:uid="{302DDE7A-A7A7-44BF-9F35-CC375FCEE409}"/>
    <cellStyle name="Normal 12 7 2 3" xfId="11861" xr:uid="{8630E7D8-C9FD-4E44-950F-7B335679D681}"/>
    <cellStyle name="Normal 12 7 3" xfId="5492" xr:uid="{00000000-0005-0000-0000-0000610E0000}"/>
    <cellStyle name="Normal 12 7 3 2" xfId="13934" xr:uid="{98D6F935-C02B-4E82-8C4D-EC91483AC773}"/>
    <cellStyle name="Normal 12 7 4" xfId="9716" xr:uid="{7FCAC0F7-0F7F-4292-919C-E40A2117E188}"/>
    <cellStyle name="Normal 12 8" xfId="1597" xr:uid="{00000000-0005-0000-0000-0000620E0000}"/>
    <cellStyle name="Normal 12 8 2" xfId="3827" xr:uid="{00000000-0005-0000-0000-0000630E0000}"/>
    <cellStyle name="Normal 12 8 2 2" xfId="8050" xr:uid="{00000000-0005-0000-0000-0000640E0000}"/>
    <cellStyle name="Normal 12 8 2 2 2" xfId="16492" xr:uid="{19089FD3-1B66-4FD1-98C4-412BED49AE37}"/>
    <cellStyle name="Normal 12 8 2 3" xfId="12274" xr:uid="{FBADD362-9FA8-467F-84CA-2C8CF12575DE}"/>
    <cellStyle name="Normal 12 8 3" xfId="5905" xr:uid="{00000000-0005-0000-0000-0000650E0000}"/>
    <cellStyle name="Normal 12 8 3 2" xfId="14347" xr:uid="{5227E90C-B79A-4804-A94A-38DB1A2D4302}"/>
    <cellStyle name="Normal 12 8 4" xfId="10129" xr:uid="{08F9D453-9844-41AF-8B46-C690F837994C}"/>
    <cellStyle name="Normal 12 9" xfId="2011" xr:uid="{00000000-0005-0000-0000-0000660E0000}"/>
    <cellStyle name="Normal 12 9 2" xfId="4240" xr:uid="{00000000-0005-0000-0000-0000670E0000}"/>
    <cellStyle name="Normal 12 9 2 2" xfId="8463" xr:uid="{00000000-0005-0000-0000-0000680E0000}"/>
    <cellStyle name="Normal 12 9 2 2 2" xfId="16905" xr:uid="{130DD245-65F1-479E-B6E3-766A9352AE74}"/>
    <cellStyle name="Normal 12 9 2 3" xfId="12687" xr:uid="{F9277FC2-1D47-46F4-A8DC-A48E5C7E74C0}"/>
    <cellStyle name="Normal 12 9 3" xfId="6318" xr:uid="{00000000-0005-0000-0000-0000690E0000}"/>
    <cellStyle name="Normal 12 9 3 2" xfId="14760" xr:uid="{7134F0CD-59A2-46B8-B066-8D3B4376FEB3}"/>
    <cellStyle name="Normal 12 9 4" xfId="10542" xr:uid="{E886A034-7A2D-40F0-AF22-D39E999B416C}"/>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7D599438-E74A-4E47-BDE0-9C8BFC384A79}"/>
    <cellStyle name="Normal 14 2 2 3" xfId="11456" xr:uid="{084E50DA-02DD-4800-8190-13C6E9ADE62F}"/>
    <cellStyle name="Normal 14 2 3" xfId="5087" xr:uid="{00000000-0005-0000-0000-0000700E0000}"/>
    <cellStyle name="Normal 14 2 3 2" xfId="13529" xr:uid="{66043AA3-4ECF-47CF-A93C-504C32A3C607}"/>
    <cellStyle name="Normal 14 2 4" xfId="9311" xr:uid="{FB0F63D5-4BF8-4EF0-AB31-772959A93D5C}"/>
    <cellStyle name="Normal 14 3" xfId="1191" xr:uid="{00000000-0005-0000-0000-0000710E0000}"/>
    <cellStyle name="Normal 14 3 2" xfId="3422" xr:uid="{00000000-0005-0000-0000-0000720E0000}"/>
    <cellStyle name="Normal 14 3 2 2" xfId="7645" xr:uid="{00000000-0005-0000-0000-0000730E0000}"/>
    <cellStyle name="Normal 14 3 2 2 2" xfId="16087" xr:uid="{7F25EA66-5ECC-495C-86F7-B51670BDA550}"/>
    <cellStyle name="Normal 14 3 2 3" xfId="11869" xr:uid="{1DD63353-2C0D-425C-B1D9-BECC0433614B}"/>
    <cellStyle name="Normal 14 3 3" xfId="5500" xr:uid="{00000000-0005-0000-0000-0000740E0000}"/>
    <cellStyle name="Normal 14 3 3 2" xfId="13942" xr:uid="{8B063567-B8BF-472A-BB9A-A7DD7035C9DF}"/>
    <cellStyle name="Normal 14 3 4" xfId="9724" xr:uid="{FE4AD9DB-9982-4748-925B-05DC1BF9EFB4}"/>
    <cellStyle name="Normal 14 4" xfId="1605" xr:uid="{00000000-0005-0000-0000-0000750E0000}"/>
    <cellStyle name="Normal 14 4 2" xfId="3835" xr:uid="{00000000-0005-0000-0000-0000760E0000}"/>
    <cellStyle name="Normal 14 4 2 2" xfId="8058" xr:uid="{00000000-0005-0000-0000-0000770E0000}"/>
    <cellStyle name="Normal 14 4 2 2 2" xfId="16500" xr:uid="{474054B3-4D18-4350-AA53-ED7C74208661}"/>
    <cellStyle name="Normal 14 4 2 3" xfId="12282" xr:uid="{4731AF78-0A7C-4DE0-8C82-2F19C75BFFB1}"/>
    <cellStyle name="Normal 14 4 3" xfId="5913" xr:uid="{00000000-0005-0000-0000-0000780E0000}"/>
    <cellStyle name="Normal 14 4 3 2" xfId="14355" xr:uid="{80631DB3-6DC0-4BCC-861E-EF6482C594B9}"/>
    <cellStyle name="Normal 14 4 4" xfId="10137" xr:uid="{D388C87E-D38A-4ACA-A267-8F2EA3787806}"/>
    <cellStyle name="Normal 14 5" xfId="2019" xr:uid="{00000000-0005-0000-0000-0000790E0000}"/>
    <cellStyle name="Normal 14 5 2" xfId="4248" xr:uid="{00000000-0005-0000-0000-00007A0E0000}"/>
    <cellStyle name="Normal 14 5 2 2" xfId="8471" xr:uid="{00000000-0005-0000-0000-00007B0E0000}"/>
    <cellStyle name="Normal 14 5 2 2 2" xfId="16913" xr:uid="{6F3884E1-3A4D-4251-BFF9-81190E1A6015}"/>
    <cellStyle name="Normal 14 5 2 3" xfId="12695" xr:uid="{C307F05F-DE22-41D5-ACA4-6818CF0F3D21}"/>
    <cellStyle name="Normal 14 5 3" xfId="6326" xr:uid="{00000000-0005-0000-0000-00007C0E0000}"/>
    <cellStyle name="Normal 14 5 3 2" xfId="14768" xr:uid="{AD6F862C-7237-4058-9F39-699A51434D23}"/>
    <cellStyle name="Normal 14 5 4" xfId="10550" xr:uid="{152C284C-D197-453E-B018-D65908AA089B}"/>
    <cellStyle name="Normal 14 6" xfId="2455" xr:uid="{00000000-0005-0000-0000-00007D0E0000}"/>
    <cellStyle name="Normal 14 6 2" xfId="6739" xr:uid="{00000000-0005-0000-0000-00007E0E0000}"/>
    <cellStyle name="Normal 14 6 2 2" xfId="15181" xr:uid="{5DDC3A55-0C77-405C-B750-1D4AC4280F34}"/>
    <cellStyle name="Normal 14 6 3" xfId="10963" xr:uid="{E45B4133-EFDD-40D2-8A44-D76BC4F6936F}"/>
    <cellStyle name="Normal 14 7" xfId="4673" xr:uid="{00000000-0005-0000-0000-00007F0E0000}"/>
    <cellStyle name="Normal 14 7 2" xfId="13115" xr:uid="{44150044-0BD5-49B6-8728-B6EB608B47B8}"/>
    <cellStyle name="Normal 14 8" xfId="8897" xr:uid="{FCD3CECA-1E2D-4157-AA2F-E0943DF921D5}"/>
    <cellStyle name="Normal 15" xfId="4496" xr:uid="{00000000-0005-0000-0000-0000800E0000}"/>
    <cellStyle name="Normal 15 2" xfId="12941" xr:uid="{2E7ED635-B190-45B3-A9A5-FFF57C334A2B}"/>
    <cellStyle name="Normal 16" xfId="4500" xr:uid="{00000000-0005-0000-0000-0000810E0000}"/>
    <cellStyle name="Normal 16 2" xfId="8716" xr:uid="{00000000-0005-0000-0000-0000820E0000}"/>
    <cellStyle name="Normal 16 2 2" xfId="17158" xr:uid="{A5205E07-9B89-44F4-8C88-F9CDF6B10715}"/>
    <cellStyle name="Normal 16 3" xfId="8719" xr:uid="{3DE1BEEB-61FA-4094-B10F-9E0444F68763}"/>
    <cellStyle name="Normal 16 3 2" xfId="8723" xr:uid="{FE0BC069-4698-40B2-814D-8E09719245E9}"/>
    <cellStyle name="Normal 16 3 2 2" xfId="8726" xr:uid="{D3E9609F-293A-4CFC-B194-1FF2F92D621D}"/>
    <cellStyle name="Normal 16 3 2 2 2" xfId="17167" xr:uid="{73DB08FD-3949-4CD2-8F84-7267E83D0D54}"/>
    <cellStyle name="Normal 16 3 2 3" xfId="17164" xr:uid="{6E28ADAF-0F4E-491B-B41D-70CAF747A0E2}"/>
    <cellStyle name="Normal 16 3 3" xfId="17161" xr:uid="{E9549CE9-8A54-4C48-B20B-9A021927764C}"/>
    <cellStyle name="Normal 16 4" xfId="12944" xr:uid="{BF3AD10D-8FA3-4B6D-9AA7-8A33622BE3AC}"/>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8152B784-3070-408F-8ECD-F5CB8DD49268}"/>
    <cellStyle name="Normal 2 4 2 10 2 3" xfId="12696" xr:uid="{828A58FB-CAA0-4934-947A-E373AE2D81C5}"/>
    <cellStyle name="Normal 2 4 2 10 3" xfId="6327" xr:uid="{00000000-0005-0000-0000-0000910E0000}"/>
    <cellStyle name="Normal 2 4 2 10 3 2" xfId="14769" xr:uid="{B7BCBA7C-965F-495B-BE17-01058F8B7F2F}"/>
    <cellStyle name="Normal 2 4 2 10 4" xfId="10551" xr:uid="{D34CFB48-D090-4279-B048-7E3588B30ED4}"/>
    <cellStyle name="Normal 2 4 2 11" xfId="2456" xr:uid="{00000000-0005-0000-0000-0000920E0000}"/>
    <cellStyle name="Normal 2 4 2 11 2" xfId="6740" xr:uid="{00000000-0005-0000-0000-0000930E0000}"/>
    <cellStyle name="Normal 2 4 2 11 2 2" xfId="15182" xr:uid="{349FCDC9-1DE7-41C4-94E3-85D3779FE9CA}"/>
    <cellStyle name="Normal 2 4 2 11 3" xfId="10964" xr:uid="{5C21ECB4-5BAB-450E-85F4-CE3EB285C5D7}"/>
    <cellStyle name="Normal 2 4 2 12" xfId="4674" xr:uid="{00000000-0005-0000-0000-0000940E0000}"/>
    <cellStyle name="Normal 2 4 2 12 2" xfId="13116" xr:uid="{6F99ADDF-6256-4A1B-9832-2A23C862D1B6}"/>
    <cellStyle name="Normal 2 4 2 13" xfId="8898" xr:uid="{5E0F240A-3785-4511-98A5-C197979FF5BA}"/>
    <cellStyle name="Normal 2 4 2 2" xfId="280" xr:uid="{00000000-0005-0000-0000-0000950E0000}"/>
    <cellStyle name="Normal 2 4 2 3" xfId="281" xr:uid="{00000000-0005-0000-0000-0000960E0000}"/>
    <cellStyle name="Normal 2 4 2 3 10" xfId="4675" xr:uid="{00000000-0005-0000-0000-0000970E0000}"/>
    <cellStyle name="Normal 2 4 2 3 10 2" xfId="13117" xr:uid="{5A146481-A19B-4A4E-A903-91EAB306FD0D}"/>
    <cellStyle name="Normal 2 4 2 3 11" xfId="8899" xr:uid="{3676F941-6180-4393-AF84-0EAB1505B0E0}"/>
    <cellStyle name="Normal 2 4 2 3 2" xfId="282" xr:uid="{00000000-0005-0000-0000-0000980E0000}"/>
    <cellStyle name="Normal 2 4 2 3 2 10" xfId="8900" xr:uid="{3053D300-5D4D-414A-8773-53ACD16E9B49}"/>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75F66422-2BA9-4FAA-94BF-1C90F8D7CB3D}"/>
    <cellStyle name="Normal 2 4 2 3 2 2 2 2 2 3" xfId="11461" xr:uid="{328AAF19-EACF-4E88-9D3C-74E3B4492488}"/>
    <cellStyle name="Normal 2 4 2 3 2 2 2 2 3" xfId="5092" xr:uid="{00000000-0005-0000-0000-00009E0E0000}"/>
    <cellStyle name="Normal 2 4 2 3 2 2 2 2 3 2" xfId="13534" xr:uid="{F6B2A894-AD91-44D4-B607-8CC21A8FD4E8}"/>
    <cellStyle name="Normal 2 4 2 3 2 2 2 2 4" xfId="9316" xr:uid="{255752E9-9392-435A-A923-AF4A5E3C241B}"/>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3A18F928-8F04-4D9D-8A69-F628DBD3354D}"/>
    <cellStyle name="Normal 2 4 2 3 2 2 2 3 2 3" xfId="11874" xr:uid="{1AA2D418-1E00-48A1-9088-51964CAA12FE}"/>
    <cellStyle name="Normal 2 4 2 3 2 2 2 3 3" xfId="5505" xr:uid="{00000000-0005-0000-0000-0000A20E0000}"/>
    <cellStyle name="Normal 2 4 2 3 2 2 2 3 3 2" xfId="13947" xr:uid="{B7D3F945-B25F-4DDF-931B-D664D5F3354B}"/>
    <cellStyle name="Normal 2 4 2 3 2 2 2 3 4" xfId="9729" xr:uid="{A6FD3CA8-5760-4A69-A53A-23C52D62DF0B}"/>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EBEA109E-FAC6-4312-9908-F0F0E651CBF2}"/>
    <cellStyle name="Normal 2 4 2 3 2 2 2 4 2 3" xfId="12287" xr:uid="{920AFF14-C2A8-4969-BF4F-C741422F74F9}"/>
    <cellStyle name="Normal 2 4 2 3 2 2 2 4 3" xfId="5918" xr:uid="{00000000-0005-0000-0000-0000A60E0000}"/>
    <cellStyle name="Normal 2 4 2 3 2 2 2 4 3 2" xfId="14360" xr:uid="{7D0D9800-499F-4040-A836-2E27F22FEE86}"/>
    <cellStyle name="Normal 2 4 2 3 2 2 2 4 4" xfId="10142" xr:uid="{E53FE060-9303-4917-A01D-536362A49F49}"/>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5349F6CF-B849-4E2B-9647-EEDD85F239D1}"/>
    <cellStyle name="Normal 2 4 2 3 2 2 2 5 2 3" xfId="12700" xr:uid="{BAFB433F-3B3E-418B-A835-988EA7E78954}"/>
    <cellStyle name="Normal 2 4 2 3 2 2 2 5 3" xfId="6331" xr:uid="{00000000-0005-0000-0000-0000AA0E0000}"/>
    <cellStyle name="Normal 2 4 2 3 2 2 2 5 3 2" xfId="14773" xr:uid="{B8B44C98-0FA2-4251-A5A1-A2B1548EC7DB}"/>
    <cellStyle name="Normal 2 4 2 3 2 2 2 5 4" xfId="10555" xr:uid="{BD552830-559D-4247-8CBC-A43A3CFA2577}"/>
    <cellStyle name="Normal 2 4 2 3 2 2 2 6" xfId="2460" xr:uid="{00000000-0005-0000-0000-0000AB0E0000}"/>
    <cellStyle name="Normal 2 4 2 3 2 2 2 6 2" xfId="6744" xr:uid="{00000000-0005-0000-0000-0000AC0E0000}"/>
    <cellStyle name="Normal 2 4 2 3 2 2 2 6 2 2" xfId="15186" xr:uid="{137BDC4A-E64E-49A2-A4E2-18E19CB0B0E4}"/>
    <cellStyle name="Normal 2 4 2 3 2 2 2 6 3" xfId="10968" xr:uid="{3673D777-6675-486F-93D5-5995F3CD79C6}"/>
    <cellStyle name="Normal 2 4 2 3 2 2 2 7" xfId="4678" xr:uid="{00000000-0005-0000-0000-0000AD0E0000}"/>
    <cellStyle name="Normal 2 4 2 3 2 2 2 7 2" xfId="13120" xr:uid="{6992A2C7-98B1-4ECE-A94B-40207563208D}"/>
    <cellStyle name="Normal 2 4 2 3 2 2 2 8" xfId="8902" xr:uid="{29668F99-8D9A-4E48-9521-B2EB424BB3C9}"/>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9546E8E7-B3A8-4D34-847D-3FE5FADF67FE}"/>
    <cellStyle name="Normal 2 4 2 3 2 2 3 2 3" xfId="11460" xr:uid="{FB674E4E-A3BF-4B24-BC75-A557056E856B}"/>
    <cellStyle name="Normal 2 4 2 3 2 2 3 3" xfId="5091" xr:uid="{00000000-0005-0000-0000-0000B10E0000}"/>
    <cellStyle name="Normal 2 4 2 3 2 2 3 3 2" xfId="13533" xr:uid="{EE4CFAA3-2BAA-482A-8014-535FB5BEEFC5}"/>
    <cellStyle name="Normal 2 4 2 3 2 2 3 4" xfId="9315" xr:uid="{288D0360-A169-49D7-B4DA-FFADF080CAE5}"/>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792119E6-D4CB-45EA-AB43-3554103ECFF8}"/>
    <cellStyle name="Normal 2 4 2 3 2 2 4 2 3" xfId="11873" xr:uid="{67ED3966-3C1E-4C40-8999-BB9A3F1598D4}"/>
    <cellStyle name="Normal 2 4 2 3 2 2 4 3" xfId="5504" xr:uid="{00000000-0005-0000-0000-0000B50E0000}"/>
    <cellStyle name="Normal 2 4 2 3 2 2 4 3 2" xfId="13946" xr:uid="{9200EDFE-F230-4442-9438-A94F62FE31BC}"/>
    <cellStyle name="Normal 2 4 2 3 2 2 4 4" xfId="9728" xr:uid="{D3477921-AFAB-480C-9EBD-656A50C2F254}"/>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E655560E-BCA8-46AB-AFFD-41AC5F379DC7}"/>
    <cellStyle name="Normal 2 4 2 3 2 2 5 2 3" xfId="12286" xr:uid="{071660C5-07CC-4C91-BF29-DEB201327A04}"/>
    <cellStyle name="Normal 2 4 2 3 2 2 5 3" xfId="5917" xr:uid="{00000000-0005-0000-0000-0000B90E0000}"/>
    <cellStyle name="Normal 2 4 2 3 2 2 5 3 2" xfId="14359" xr:uid="{2BDEEBD8-F899-4258-91B1-77C1517C35B2}"/>
    <cellStyle name="Normal 2 4 2 3 2 2 5 4" xfId="10141" xr:uid="{4843E374-F0DF-4780-9E52-8A8DF9E0DEE5}"/>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20923BFE-05F7-4EBA-9E51-A8091E01FDBE}"/>
    <cellStyle name="Normal 2 4 2 3 2 2 6 2 3" xfId="12699" xr:uid="{32EDA5B7-7DCD-4605-8313-F2FD9B79D368}"/>
    <cellStyle name="Normal 2 4 2 3 2 2 6 3" xfId="6330" xr:uid="{00000000-0005-0000-0000-0000BD0E0000}"/>
    <cellStyle name="Normal 2 4 2 3 2 2 6 3 2" xfId="14772" xr:uid="{3AEAE00E-EDA9-4A9A-A74C-25E137FCBC97}"/>
    <cellStyle name="Normal 2 4 2 3 2 2 6 4" xfId="10554" xr:uid="{A88B4336-A17C-4BFC-A747-3F60D35E4BF9}"/>
    <cellStyle name="Normal 2 4 2 3 2 2 7" xfId="2459" xr:uid="{00000000-0005-0000-0000-0000BE0E0000}"/>
    <cellStyle name="Normal 2 4 2 3 2 2 7 2" xfId="6743" xr:uid="{00000000-0005-0000-0000-0000BF0E0000}"/>
    <cellStyle name="Normal 2 4 2 3 2 2 7 2 2" xfId="15185" xr:uid="{F2761FC1-78AB-4197-8FDA-6640E8DFE947}"/>
    <cellStyle name="Normal 2 4 2 3 2 2 7 3" xfId="10967" xr:uid="{044CD66F-CA3C-4D01-9619-007DDADA603A}"/>
    <cellStyle name="Normal 2 4 2 3 2 2 8" xfId="4677" xr:uid="{00000000-0005-0000-0000-0000C00E0000}"/>
    <cellStyle name="Normal 2 4 2 3 2 2 8 2" xfId="13119" xr:uid="{BA631195-AEEA-40FD-9DC7-4A2A91A8D5B7}"/>
    <cellStyle name="Normal 2 4 2 3 2 2 9" xfId="8901" xr:uid="{D99F681F-EB4D-49EB-A3C1-50E7F0927097}"/>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72E60F07-0295-4D98-9444-67D988B03503}"/>
    <cellStyle name="Normal 2 4 2 3 2 3 2 2 3" xfId="11462" xr:uid="{27B51206-B7BA-4535-A438-6845A4AF7AF6}"/>
    <cellStyle name="Normal 2 4 2 3 2 3 2 3" xfId="5093" xr:uid="{00000000-0005-0000-0000-0000C50E0000}"/>
    <cellStyle name="Normal 2 4 2 3 2 3 2 3 2" xfId="13535" xr:uid="{861BDBFB-682E-4F8A-898A-1852F7A8E85E}"/>
    <cellStyle name="Normal 2 4 2 3 2 3 2 4" xfId="9317" xr:uid="{9E12960D-72AF-42A5-8774-0AC3F111D21E}"/>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CC1FA8B9-A41C-4BA8-8165-F4E2742B03CF}"/>
    <cellStyle name="Normal 2 4 2 3 2 3 3 2 3" xfId="11875" xr:uid="{D2F80610-E9DC-42FC-999C-7524D007A1E3}"/>
    <cellStyle name="Normal 2 4 2 3 2 3 3 3" xfId="5506" xr:uid="{00000000-0005-0000-0000-0000C90E0000}"/>
    <cellStyle name="Normal 2 4 2 3 2 3 3 3 2" xfId="13948" xr:uid="{2565CBFD-5AC0-41FF-B7E4-5FF0D2CCA5CC}"/>
    <cellStyle name="Normal 2 4 2 3 2 3 3 4" xfId="9730" xr:uid="{76A5E8BE-9F9F-4977-BDA8-5B4FF6CF52D6}"/>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F9816B9A-D28D-43C2-A8D1-4EBE62347A6F}"/>
    <cellStyle name="Normal 2 4 2 3 2 3 4 2 3" xfId="12288" xr:uid="{F12ABCA1-30B0-415C-BC42-DA828DD70BF0}"/>
    <cellStyle name="Normal 2 4 2 3 2 3 4 3" xfId="5919" xr:uid="{00000000-0005-0000-0000-0000CD0E0000}"/>
    <cellStyle name="Normal 2 4 2 3 2 3 4 3 2" xfId="14361" xr:uid="{F448407D-51B9-46CB-B326-DAD263352255}"/>
    <cellStyle name="Normal 2 4 2 3 2 3 4 4" xfId="10143" xr:uid="{91EA1B5A-6613-44FB-920C-745A8598E8F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7EBEF2D4-7DB3-4D46-A5DF-B87E850E5894}"/>
    <cellStyle name="Normal 2 4 2 3 2 3 5 2 3" xfId="12701" xr:uid="{0D6C20CF-8086-4091-8DD3-ABDE35BFDDD2}"/>
    <cellStyle name="Normal 2 4 2 3 2 3 5 3" xfId="6332" xr:uid="{00000000-0005-0000-0000-0000D10E0000}"/>
    <cellStyle name="Normal 2 4 2 3 2 3 5 3 2" xfId="14774" xr:uid="{49F31925-3AFE-46C0-8B09-93D1C014974D}"/>
    <cellStyle name="Normal 2 4 2 3 2 3 5 4" xfId="10556" xr:uid="{703F0569-92CE-43D6-96B5-4BBB309BC5D2}"/>
    <cellStyle name="Normal 2 4 2 3 2 3 6" xfId="2461" xr:uid="{00000000-0005-0000-0000-0000D20E0000}"/>
    <cellStyle name="Normal 2 4 2 3 2 3 6 2" xfId="6745" xr:uid="{00000000-0005-0000-0000-0000D30E0000}"/>
    <cellStyle name="Normal 2 4 2 3 2 3 6 2 2" xfId="15187" xr:uid="{939C2112-1F30-413B-9139-3AA6D568779F}"/>
    <cellStyle name="Normal 2 4 2 3 2 3 6 3" xfId="10969" xr:uid="{D932F557-F46B-4B25-ABB3-E6095C0DD548}"/>
    <cellStyle name="Normal 2 4 2 3 2 3 7" xfId="4679" xr:uid="{00000000-0005-0000-0000-0000D40E0000}"/>
    <cellStyle name="Normal 2 4 2 3 2 3 7 2" xfId="13121" xr:uid="{96FBEB35-D54F-4B72-8196-D7C7D40907E0}"/>
    <cellStyle name="Normal 2 4 2 3 2 3 8" xfId="8903" xr:uid="{6740BD0F-399D-4D6C-B039-23B68FE80FAC}"/>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335EBD8A-A956-4649-8EAD-FFC9AF02C8AC}"/>
    <cellStyle name="Normal 2 4 2 3 2 4 2 3" xfId="11459" xr:uid="{DC92F641-4E5D-4D96-B45B-0032ECB27C91}"/>
    <cellStyle name="Normal 2 4 2 3 2 4 3" xfId="5090" xr:uid="{00000000-0005-0000-0000-0000D80E0000}"/>
    <cellStyle name="Normal 2 4 2 3 2 4 3 2" xfId="13532" xr:uid="{933E051E-8578-4865-A386-2E00D871DAE7}"/>
    <cellStyle name="Normal 2 4 2 3 2 4 4" xfId="9314" xr:uid="{F8B419D0-AF22-4ED1-B20B-12CA1950D53E}"/>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63BC2E9C-B1F7-4606-95C7-DDF9B64A4A63}"/>
    <cellStyle name="Normal 2 4 2 3 2 5 2 3" xfId="11872" xr:uid="{51791C01-D5EC-469A-B258-B0921B24EEEB}"/>
    <cellStyle name="Normal 2 4 2 3 2 5 3" xfId="5503" xr:uid="{00000000-0005-0000-0000-0000DC0E0000}"/>
    <cellStyle name="Normal 2 4 2 3 2 5 3 2" xfId="13945" xr:uid="{E3C50F9C-B133-4492-B70C-FD614F6C1327}"/>
    <cellStyle name="Normal 2 4 2 3 2 5 4" xfId="9727" xr:uid="{0D15831C-061F-44C3-9F62-DA9EACA3B879}"/>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8D4ECA9D-D67F-48F6-AE7F-5ED18AFAA668}"/>
    <cellStyle name="Normal 2 4 2 3 2 6 2 3" xfId="12285" xr:uid="{50A686E6-5FF1-49B2-8AF2-4428B73A078E}"/>
    <cellStyle name="Normal 2 4 2 3 2 6 3" xfId="5916" xr:uid="{00000000-0005-0000-0000-0000E00E0000}"/>
    <cellStyle name="Normal 2 4 2 3 2 6 3 2" xfId="14358" xr:uid="{A19E0D2C-A49A-4EFD-A04F-9D342B005A89}"/>
    <cellStyle name="Normal 2 4 2 3 2 6 4" xfId="10140" xr:uid="{BD0C4748-1FDC-4522-A88D-1EB9DC77BC4B}"/>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0001E23A-A10A-4C8E-84C3-3B857E9A4F61}"/>
    <cellStyle name="Normal 2 4 2 3 2 7 2 3" xfId="12698" xr:uid="{417AEF15-568D-494B-B419-AA67095CADA8}"/>
    <cellStyle name="Normal 2 4 2 3 2 7 3" xfId="6329" xr:uid="{00000000-0005-0000-0000-0000E40E0000}"/>
    <cellStyle name="Normal 2 4 2 3 2 7 3 2" xfId="14771" xr:uid="{34E00273-FDAA-4A12-BB8E-5D227D191864}"/>
    <cellStyle name="Normal 2 4 2 3 2 7 4" xfId="10553" xr:uid="{4A993F0F-357F-44EB-B49E-FC57717E23B9}"/>
    <cellStyle name="Normal 2 4 2 3 2 8" xfId="2458" xr:uid="{00000000-0005-0000-0000-0000E50E0000}"/>
    <cellStyle name="Normal 2 4 2 3 2 8 2" xfId="6742" xr:uid="{00000000-0005-0000-0000-0000E60E0000}"/>
    <cellStyle name="Normal 2 4 2 3 2 8 2 2" xfId="15184" xr:uid="{30F11ECD-51D0-4394-AA23-3A21FE8AA9C7}"/>
    <cellStyle name="Normal 2 4 2 3 2 8 3" xfId="10966" xr:uid="{9AF6D624-8B7C-42AF-A1F9-A2FC951A6AF5}"/>
    <cellStyle name="Normal 2 4 2 3 2 9" xfId="4676" xr:uid="{00000000-0005-0000-0000-0000E70E0000}"/>
    <cellStyle name="Normal 2 4 2 3 2 9 2" xfId="13118" xr:uid="{C3B88D11-64CB-49C8-9AEC-4ECD86DC5B43}"/>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F4E5A171-8C63-430D-8811-6F7DD6633A53}"/>
    <cellStyle name="Normal 2 4 2 3 3 2 2 2 3" xfId="11464" xr:uid="{F2F30C98-A8B2-445C-A7C7-B53A5CD7DFA8}"/>
    <cellStyle name="Normal 2 4 2 3 3 2 2 3" xfId="5095" xr:uid="{00000000-0005-0000-0000-0000ED0E0000}"/>
    <cellStyle name="Normal 2 4 2 3 3 2 2 3 2" xfId="13537" xr:uid="{7B04D726-FBB6-4010-B221-273014652C2F}"/>
    <cellStyle name="Normal 2 4 2 3 3 2 2 4" xfId="9319" xr:uid="{00915120-72DF-41F8-B819-BF8163A93446}"/>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691F1D26-F03B-4A56-AA93-07918A58E804}"/>
    <cellStyle name="Normal 2 4 2 3 3 2 3 2 3" xfId="11877" xr:uid="{A339DC60-72F8-4DE1-B0D7-ABB994054461}"/>
    <cellStyle name="Normal 2 4 2 3 3 2 3 3" xfId="5508" xr:uid="{00000000-0005-0000-0000-0000F10E0000}"/>
    <cellStyle name="Normal 2 4 2 3 3 2 3 3 2" xfId="13950" xr:uid="{302E6F0D-2471-4A6D-AD3B-4C7B2B0F7F14}"/>
    <cellStyle name="Normal 2 4 2 3 3 2 3 4" xfId="9732" xr:uid="{2DB2049B-5265-466D-9E3A-1C70CBEF4A36}"/>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263CE0B5-0173-4F18-A4AC-5FDEDA0F1989}"/>
    <cellStyle name="Normal 2 4 2 3 3 2 4 2 3" xfId="12290" xr:uid="{7EBCF1F1-5876-407B-9FE1-56C643752CBA}"/>
    <cellStyle name="Normal 2 4 2 3 3 2 4 3" xfId="5921" xr:uid="{00000000-0005-0000-0000-0000F50E0000}"/>
    <cellStyle name="Normal 2 4 2 3 3 2 4 3 2" xfId="14363" xr:uid="{E8F0C2E1-1F9F-4C52-95BC-F0A26CE7FA02}"/>
    <cellStyle name="Normal 2 4 2 3 3 2 4 4" xfId="10145" xr:uid="{1BAB98B4-CBD1-4A54-B6D3-8F3403447869}"/>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29E32FCF-9F2E-4B6D-AA0E-3CC9C9E93533}"/>
    <cellStyle name="Normal 2 4 2 3 3 2 5 2 3" xfId="12703" xr:uid="{8DA7CB93-4583-4B2A-9740-F401BEE9E80A}"/>
    <cellStyle name="Normal 2 4 2 3 3 2 5 3" xfId="6334" xr:uid="{00000000-0005-0000-0000-0000F90E0000}"/>
    <cellStyle name="Normal 2 4 2 3 3 2 5 3 2" xfId="14776" xr:uid="{CB55B06E-2FC2-4843-82C4-66D98BF3DC52}"/>
    <cellStyle name="Normal 2 4 2 3 3 2 5 4" xfId="10558" xr:uid="{D3A02DB3-9D0A-4837-909E-741A580ADFEA}"/>
    <cellStyle name="Normal 2 4 2 3 3 2 6" xfId="2463" xr:uid="{00000000-0005-0000-0000-0000FA0E0000}"/>
    <cellStyle name="Normal 2 4 2 3 3 2 6 2" xfId="6747" xr:uid="{00000000-0005-0000-0000-0000FB0E0000}"/>
    <cellStyle name="Normal 2 4 2 3 3 2 6 2 2" xfId="15189" xr:uid="{A77329EB-BA50-4900-ADB7-BD3326A1BFFC}"/>
    <cellStyle name="Normal 2 4 2 3 3 2 6 3" xfId="10971" xr:uid="{7E5440BD-FB22-4533-8728-D40B5344CF3F}"/>
    <cellStyle name="Normal 2 4 2 3 3 2 7" xfId="4681" xr:uid="{00000000-0005-0000-0000-0000FC0E0000}"/>
    <cellStyle name="Normal 2 4 2 3 3 2 7 2" xfId="13123" xr:uid="{E527645D-4D6A-453E-ABB1-C8E249F2D236}"/>
    <cellStyle name="Normal 2 4 2 3 3 2 8" xfId="8905" xr:uid="{15322335-CB14-4B57-87E1-89D81594368F}"/>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9F84081D-E1B9-469E-A444-C06F042A7A44}"/>
    <cellStyle name="Normal 2 4 2 3 3 3 2 3" xfId="11463" xr:uid="{20395E7A-00A8-4061-8077-9B6FA27466EC}"/>
    <cellStyle name="Normal 2 4 2 3 3 3 3" xfId="5094" xr:uid="{00000000-0005-0000-0000-0000000F0000}"/>
    <cellStyle name="Normal 2 4 2 3 3 3 3 2" xfId="13536" xr:uid="{EA7028A5-BB30-490F-A442-494182A1F662}"/>
    <cellStyle name="Normal 2 4 2 3 3 3 4" xfId="9318" xr:uid="{AD229492-D107-4F84-A6B7-74023137C9BF}"/>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DE4574A3-B4A6-44AC-99DD-D4719AFED1EC}"/>
    <cellStyle name="Normal 2 4 2 3 3 4 2 3" xfId="11876" xr:uid="{ABDB5EE6-FA14-4324-BB07-2098A4596788}"/>
    <cellStyle name="Normal 2 4 2 3 3 4 3" xfId="5507" xr:uid="{00000000-0005-0000-0000-0000040F0000}"/>
    <cellStyle name="Normal 2 4 2 3 3 4 3 2" xfId="13949" xr:uid="{D8247235-EE06-4BC9-B3D9-DFB8E6413138}"/>
    <cellStyle name="Normal 2 4 2 3 3 4 4" xfId="9731" xr:uid="{3AEFBB1B-F7BF-4443-AF78-9108E93B8562}"/>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84599F32-3DF3-480C-940A-0A02D3E617E3}"/>
    <cellStyle name="Normal 2 4 2 3 3 5 2 3" xfId="12289" xr:uid="{3E406611-B790-4737-B00A-DE4D8825E885}"/>
    <cellStyle name="Normal 2 4 2 3 3 5 3" xfId="5920" xr:uid="{00000000-0005-0000-0000-0000080F0000}"/>
    <cellStyle name="Normal 2 4 2 3 3 5 3 2" xfId="14362" xr:uid="{10E8C4F1-2CA3-46B6-A74C-8118AA9190AC}"/>
    <cellStyle name="Normal 2 4 2 3 3 5 4" xfId="10144" xr:uid="{DF17A499-8C7B-4EE0-AB49-354765F0D211}"/>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EEAFA93B-6030-4C35-968E-0019E75FE79A}"/>
    <cellStyle name="Normal 2 4 2 3 3 6 2 3" xfId="12702" xr:uid="{5CA01387-33AE-481B-A72C-6AC3F24DCD2A}"/>
    <cellStyle name="Normal 2 4 2 3 3 6 3" xfId="6333" xr:uid="{00000000-0005-0000-0000-00000C0F0000}"/>
    <cellStyle name="Normal 2 4 2 3 3 6 3 2" xfId="14775" xr:uid="{1F193AD4-EE22-4FF4-8CEF-B10B9B4ECDAD}"/>
    <cellStyle name="Normal 2 4 2 3 3 6 4" xfId="10557" xr:uid="{8FB21701-ACB9-4401-B525-FA97AABD1EE6}"/>
    <cellStyle name="Normal 2 4 2 3 3 7" xfId="2462" xr:uid="{00000000-0005-0000-0000-00000D0F0000}"/>
    <cellStyle name="Normal 2 4 2 3 3 7 2" xfId="6746" xr:uid="{00000000-0005-0000-0000-00000E0F0000}"/>
    <cellStyle name="Normal 2 4 2 3 3 7 2 2" xfId="15188" xr:uid="{614C01AA-2811-4EE9-AA0E-E3161AD1888A}"/>
    <cellStyle name="Normal 2 4 2 3 3 7 3" xfId="10970" xr:uid="{45987095-C66D-4D61-958F-A71B30C05528}"/>
    <cellStyle name="Normal 2 4 2 3 3 8" xfId="4680" xr:uid="{00000000-0005-0000-0000-00000F0F0000}"/>
    <cellStyle name="Normal 2 4 2 3 3 8 2" xfId="13122" xr:uid="{8C8DBE66-0414-401B-9AB6-48170E17754B}"/>
    <cellStyle name="Normal 2 4 2 3 3 9" xfId="8904" xr:uid="{60801980-9B2A-4D71-84A8-A3C0F0C4561A}"/>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5A5361A4-1622-4ECD-9580-3338F3B9DB1C}"/>
    <cellStyle name="Normal 2 4 2 3 4 2 2 3" xfId="11465" xr:uid="{D124931E-10A4-41FB-B784-F0FC3AABC21B}"/>
    <cellStyle name="Normal 2 4 2 3 4 2 3" xfId="5096" xr:uid="{00000000-0005-0000-0000-0000140F0000}"/>
    <cellStyle name="Normal 2 4 2 3 4 2 3 2" xfId="13538" xr:uid="{C9920DAD-C5F1-408F-BEDE-F91A0BEE0554}"/>
    <cellStyle name="Normal 2 4 2 3 4 2 4" xfId="9320" xr:uid="{756F1F88-50BB-42A1-8BDD-52DC0A4BACAC}"/>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DFF59508-B730-4816-AFB9-0E527BB4E77E}"/>
    <cellStyle name="Normal 2 4 2 3 4 3 2 3" xfId="11878" xr:uid="{731E7DC8-6303-4E36-8417-B3812595A2EE}"/>
    <cellStyle name="Normal 2 4 2 3 4 3 3" xfId="5509" xr:uid="{00000000-0005-0000-0000-0000180F0000}"/>
    <cellStyle name="Normal 2 4 2 3 4 3 3 2" xfId="13951" xr:uid="{2EDE4EA1-782F-417B-B8E1-E606F97EF438}"/>
    <cellStyle name="Normal 2 4 2 3 4 3 4" xfId="9733" xr:uid="{CC97826E-1932-4F3C-865B-870AE064AB09}"/>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635C04C7-039B-47E3-A8CF-886F16B7235F}"/>
    <cellStyle name="Normal 2 4 2 3 4 4 2 3" xfId="12291" xr:uid="{C09C5A72-EC7B-4D32-888F-C6AD392C0E7C}"/>
    <cellStyle name="Normal 2 4 2 3 4 4 3" xfId="5922" xr:uid="{00000000-0005-0000-0000-00001C0F0000}"/>
    <cellStyle name="Normal 2 4 2 3 4 4 3 2" xfId="14364" xr:uid="{D3C28234-9CC7-40D0-ACF8-6AF7A0838544}"/>
    <cellStyle name="Normal 2 4 2 3 4 4 4" xfId="10146" xr:uid="{F5DA819A-BE90-4771-B0FE-EED3BE19F5AF}"/>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29A962FD-A3CE-4418-90EC-3FBC9DC426BE}"/>
    <cellStyle name="Normal 2 4 2 3 4 5 2 3" xfId="12704" xr:uid="{7388864E-EA0C-47CE-980E-1CB9A3F3BA0A}"/>
    <cellStyle name="Normal 2 4 2 3 4 5 3" xfId="6335" xr:uid="{00000000-0005-0000-0000-0000200F0000}"/>
    <cellStyle name="Normal 2 4 2 3 4 5 3 2" xfId="14777" xr:uid="{79690352-5986-45B4-9129-933E53143AAA}"/>
    <cellStyle name="Normal 2 4 2 3 4 5 4" xfId="10559" xr:uid="{127A4494-5A39-4353-AE79-D81412322A78}"/>
    <cellStyle name="Normal 2 4 2 3 4 6" xfId="2464" xr:uid="{00000000-0005-0000-0000-0000210F0000}"/>
    <cellStyle name="Normal 2 4 2 3 4 6 2" xfId="6748" xr:uid="{00000000-0005-0000-0000-0000220F0000}"/>
    <cellStyle name="Normal 2 4 2 3 4 6 2 2" xfId="15190" xr:uid="{E9DCB951-0A64-442C-8167-BBB4862D87FD}"/>
    <cellStyle name="Normal 2 4 2 3 4 6 3" xfId="10972" xr:uid="{CB9DDD9A-FA48-47DC-8A88-19E3AEF39206}"/>
    <cellStyle name="Normal 2 4 2 3 4 7" xfId="4682" xr:uid="{00000000-0005-0000-0000-0000230F0000}"/>
    <cellStyle name="Normal 2 4 2 3 4 7 2" xfId="13124" xr:uid="{64C4793A-D832-45D7-BBFB-2092924B0C20}"/>
    <cellStyle name="Normal 2 4 2 3 4 8" xfId="8906" xr:uid="{868294A2-057A-4400-80F5-73820C7E7525}"/>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6C0D5675-ECDA-4E53-B4A5-67AD1E0EFF25}"/>
    <cellStyle name="Normal 2 4 2 3 5 2 3" xfId="11458" xr:uid="{5DD08E42-1C4B-421A-B42D-0DC67F80AC33}"/>
    <cellStyle name="Normal 2 4 2 3 5 3" xfId="5089" xr:uid="{00000000-0005-0000-0000-0000270F0000}"/>
    <cellStyle name="Normal 2 4 2 3 5 3 2" xfId="13531" xr:uid="{1C545A2F-9CE1-4245-8D95-8BE7784CA5FC}"/>
    <cellStyle name="Normal 2 4 2 3 5 4" xfId="9313" xr:uid="{324400B4-C762-430B-900A-E1651DE11F6C}"/>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CCD12479-C437-4195-9549-F970FA151EC3}"/>
    <cellStyle name="Normal 2 4 2 3 6 2 3" xfId="11871" xr:uid="{07E3A525-0B31-4517-8E7E-40251388EAD8}"/>
    <cellStyle name="Normal 2 4 2 3 6 3" xfId="5502" xr:uid="{00000000-0005-0000-0000-00002B0F0000}"/>
    <cellStyle name="Normal 2 4 2 3 6 3 2" xfId="13944" xr:uid="{AF091935-8C30-45E6-AA77-8E51B05C018B}"/>
    <cellStyle name="Normal 2 4 2 3 6 4" xfId="9726" xr:uid="{FB0AA1A9-6871-43F7-9D24-EFA3924C6F7A}"/>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0909612F-8B10-4323-AD29-95CC2127493D}"/>
    <cellStyle name="Normal 2 4 2 3 7 2 3" xfId="12284" xr:uid="{42F720D1-6077-4E6E-A8B4-567EAB5E6A20}"/>
    <cellStyle name="Normal 2 4 2 3 7 3" xfId="5915" xr:uid="{00000000-0005-0000-0000-00002F0F0000}"/>
    <cellStyle name="Normal 2 4 2 3 7 3 2" xfId="14357" xr:uid="{1400E531-AD1F-4124-AAB6-A6F760D72F5F}"/>
    <cellStyle name="Normal 2 4 2 3 7 4" xfId="10139" xr:uid="{06595B1B-0474-47B7-A337-206AD7E3A824}"/>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D2CAFC66-1409-4B65-AFD8-6AAFA5D7F5AE}"/>
    <cellStyle name="Normal 2 4 2 3 8 2 3" xfId="12697" xr:uid="{AFBE143B-6AB7-40C5-9953-E2D42666C707}"/>
    <cellStyle name="Normal 2 4 2 3 8 3" xfId="6328" xr:uid="{00000000-0005-0000-0000-0000330F0000}"/>
    <cellStyle name="Normal 2 4 2 3 8 3 2" xfId="14770" xr:uid="{8A76349B-A3CD-4ADD-B833-F73507884AE8}"/>
    <cellStyle name="Normal 2 4 2 3 8 4" xfId="10552" xr:uid="{69B9C964-DB63-4CAF-A30C-DB5159B579EC}"/>
    <cellStyle name="Normal 2 4 2 3 9" xfId="2457" xr:uid="{00000000-0005-0000-0000-0000340F0000}"/>
    <cellStyle name="Normal 2 4 2 3 9 2" xfId="6741" xr:uid="{00000000-0005-0000-0000-0000350F0000}"/>
    <cellStyle name="Normal 2 4 2 3 9 2 2" xfId="15183" xr:uid="{6353D4C7-01C7-4518-9125-2E24E7C4376A}"/>
    <cellStyle name="Normal 2 4 2 3 9 3" xfId="10965" xr:uid="{19D281D4-5D4C-4594-BBED-D591D06FF8D8}"/>
    <cellStyle name="Normal 2 4 2 4" xfId="289" xr:uid="{00000000-0005-0000-0000-0000360F0000}"/>
    <cellStyle name="Normal 2 4 2 4 10" xfId="8907" xr:uid="{8328A27E-9482-4975-A05E-3A462DAB8C51}"/>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B69796B9-CCA0-4CC1-8CEB-653F78156A8D}"/>
    <cellStyle name="Normal 2 4 2 4 2 2 2 2 3" xfId="11468" xr:uid="{B9886C0E-6772-4EC2-A3A2-75F61E64968D}"/>
    <cellStyle name="Normal 2 4 2 4 2 2 2 3" xfId="5099" xr:uid="{00000000-0005-0000-0000-00003C0F0000}"/>
    <cellStyle name="Normal 2 4 2 4 2 2 2 3 2" xfId="13541" xr:uid="{1660848A-6DEC-49A0-8388-13E6A62A879C}"/>
    <cellStyle name="Normal 2 4 2 4 2 2 2 4" xfId="9323" xr:uid="{8D86CE6F-3BB0-4337-9539-5128884AF95B}"/>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E72D3C72-08B0-4017-B35B-4BD94BDCCB37}"/>
    <cellStyle name="Normal 2 4 2 4 2 2 3 2 3" xfId="11881" xr:uid="{5149DBCC-16DC-4C6F-AFA3-B71D0EF491F6}"/>
    <cellStyle name="Normal 2 4 2 4 2 2 3 3" xfId="5512" xr:uid="{00000000-0005-0000-0000-0000400F0000}"/>
    <cellStyle name="Normal 2 4 2 4 2 2 3 3 2" xfId="13954" xr:uid="{86C8DE7D-85C4-4A53-A948-8DA765220389}"/>
    <cellStyle name="Normal 2 4 2 4 2 2 3 4" xfId="9736" xr:uid="{5E407D57-81C9-4A96-BD19-BD879F3910CA}"/>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FA538E76-EC18-4E5A-B9AB-9F9E46FBF5ED}"/>
    <cellStyle name="Normal 2 4 2 4 2 2 4 2 3" xfId="12294" xr:uid="{C00BB4F1-A16C-44B3-9E20-050C5AF84BAA}"/>
    <cellStyle name="Normal 2 4 2 4 2 2 4 3" xfId="5925" xr:uid="{00000000-0005-0000-0000-0000440F0000}"/>
    <cellStyle name="Normal 2 4 2 4 2 2 4 3 2" xfId="14367" xr:uid="{5EB3BC3F-2E48-4E49-A388-ADEDB9564815}"/>
    <cellStyle name="Normal 2 4 2 4 2 2 4 4" xfId="10149" xr:uid="{5C695979-2321-4DE1-B635-6680DEB7CCEC}"/>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363D384F-794B-48B3-9E40-C84B2005784C}"/>
    <cellStyle name="Normal 2 4 2 4 2 2 5 2 3" xfId="12707" xr:uid="{CD7C9D39-A1A5-488E-99CB-7706F1AC3E8A}"/>
    <cellStyle name="Normal 2 4 2 4 2 2 5 3" xfId="6338" xr:uid="{00000000-0005-0000-0000-0000480F0000}"/>
    <cellStyle name="Normal 2 4 2 4 2 2 5 3 2" xfId="14780" xr:uid="{B1904677-3284-4297-B9FA-FF1DD5A84035}"/>
    <cellStyle name="Normal 2 4 2 4 2 2 5 4" xfId="10562" xr:uid="{E3DD2094-E0C1-4FCB-BF45-4F8D303BF81C}"/>
    <cellStyle name="Normal 2 4 2 4 2 2 6" xfId="2467" xr:uid="{00000000-0005-0000-0000-0000490F0000}"/>
    <cellStyle name="Normal 2 4 2 4 2 2 6 2" xfId="6751" xr:uid="{00000000-0005-0000-0000-00004A0F0000}"/>
    <cellStyle name="Normal 2 4 2 4 2 2 6 2 2" xfId="15193" xr:uid="{C95361D1-8118-40F5-BE68-EB7C994ABDB5}"/>
    <cellStyle name="Normal 2 4 2 4 2 2 6 3" xfId="10975" xr:uid="{4654BA84-16E8-480D-B68D-389786EEEEB4}"/>
    <cellStyle name="Normal 2 4 2 4 2 2 7" xfId="4685" xr:uid="{00000000-0005-0000-0000-00004B0F0000}"/>
    <cellStyle name="Normal 2 4 2 4 2 2 7 2" xfId="13127" xr:uid="{71054423-3542-40FC-9A6E-1EAE39039C90}"/>
    <cellStyle name="Normal 2 4 2 4 2 2 8" xfId="8909" xr:uid="{6C6044A1-22AB-4B3C-BB5B-7539E006226C}"/>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F9022FBA-1A39-4DD5-933C-D8D078B88002}"/>
    <cellStyle name="Normal 2 4 2 4 2 3 2 3" xfId="11467" xr:uid="{3AB4E8E7-821D-45DE-A98C-D237FEB985BD}"/>
    <cellStyle name="Normal 2 4 2 4 2 3 3" xfId="5098" xr:uid="{00000000-0005-0000-0000-00004F0F0000}"/>
    <cellStyle name="Normal 2 4 2 4 2 3 3 2" xfId="13540" xr:uid="{DD861E2F-D12E-4AF3-86BF-2CD46B090D1E}"/>
    <cellStyle name="Normal 2 4 2 4 2 3 4" xfId="9322" xr:uid="{82E12BBB-F85A-4562-A82E-0A89CF6051CC}"/>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85A52F70-DB47-4D41-972C-1BF431048C52}"/>
    <cellStyle name="Normal 2 4 2 4 2 4 2 3" xfId="11880" xr:uid="{3B2A48E2-0FD0-4124-B0E7-F0AD69ECE8E6}"/>
    <cellStyle name="Normal 2 4 2 4 2 4 3" xfId="5511" xr:uid="{00000000-0005-0000-0000-0000530F0000}"/>
    <cellStyle name="Normal 2 4 2 4 2 4 3 2" xfId="13953" xr:uid="{0F5C4B46-C5C4-4FD8-BFB7-B750DF8D369C}"/>
    <cellStyle name="Normal 2 4 2 4 2 4 4" xfId="9735" xr:uid="{F1B1BF0F-E849-40F1-9925-D6D3EB2B5CB9}"/>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8C189276-EC88-47EB-A21D-4C493755B376}"/>
    <cellStyle name="Normal 2 4 2 4 2 5 2 3" xfId="12293" xr:uid="{7632AEF8-D589-4713-9AFC-7ABDE126C16C}"/>
    <cellStyle name="Normal 2 4 2 4 2 5 3" xfId="5924" xr:uid="{00000000-0005-0000-0000-0000570F0000}"/>
    <cellStyle name="Normal 2 4 2 4 2 5 3 2" xfId="14366" xr:uid="{FCA8FE05-FA97-417F-884D-86DEA71A9A6F}"/>
    <cellStyle name="Normal 2 4 2 4 2 5 4" xfId="10148" xr:uid="{CA1212F9-6681-4646-ACF1-E9914DD1A571}"/>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8F0E7D0B-59C2-4F45-B269-38AA1A0DB027}"/>
    <cellStyle name="Normal 2 4 2 4 2 6 2 3" xfId="12706" xr:uid="{B4B1D2A9-16AE-40C1-A2B3-61F0ECBF650C}"/>
    <cellStyle name="Normal 2 4 2 4 2 6 3" xfId="6337" xr:uid="{00000000-0005-0000-0000-00005B0F0000}"/>
    <cellStyle name="Normal 2 4 2 4 2 6 3 2" xfId="14779" xr:uid="{47CF4A2F-AB1D-4DD5-B2C5-601F9833A7C4}"/>
    <cellStyle name="Normal 2 4 2 4 2 6 4" xfId="10561" xr:uid="{BD8E613D-2D02-49EC-9206-CFA4ABEB9F12}"/>
    <cellStyle name="Normal 2 4 2 4 2 7" xfId="2466" xr:uid="{00000000-0005-0000-0000-00005C0F0000}"/>
    <cellStyle name="Normal 2 4 2 4 2 7 2" xfId="6750" xr:uid="{00000000-0005-0000-0000-00005D0F0000}"/>
    <cellStyle name="Normal 2 4 2 4 2 7 2 2" xfId="15192" xr:uid="{3EA5B781-8734-4EE9-B807-FB7E45F6D68A}"/>
    <cellStyle name="Normal 2 4 2 4 2 7 3" xfId="10974" xr:uid="{19175AF4-EE38-4E03-A427-CCAC797D5547}"/>
    <cellStyle name="Normal 2 4 2 4 2 8" xfId="4684" xr:uid="{00000000-0005-0000-0000-00005E0F0000}"/>
    <cellStyle name="Normal 2 4 2 4 2 8 2" xfId="13126" xr:uid="{AF7216A1-FFDA-4775-9600-6E74A45FBF52}"/>
    <cellStyle name="Normal 2 4 2 4 2 9" xfId="8908" xr:uid="{F6625357-6567-4404-AF05-FC3B30AE0D8C}"/>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F152DCD5-7924-421E-A532-CD9A110C9F04}"/>
    <cellStyle name="Normal 2 4 2 4 3 2 2 3" xfId="11469" xr:uid="{5DBA9D93-2B5E-4D4A-B712-8629876D285F}"/>
    <cellStyle name="Normal 2 4 2 4 3 2 3" xfId="5100" xr:uid="{00000000-0005-0000-0000-0000630F0000}"/>
    <cellStyle name="Normal 2 4 2 4 3 2 3 2" xfId="13542" xr:uid="{EDF94E7E-1EE2-4956-9AC5-871F8518FD00}"/>
    <cellStyle name="Normal 2 4 2 4 3 2 4" xfId="9324" xr:uid="{189E1768-A9B2-474A-B36A-0BD4DE617FD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8394D362-D0DD-4EEB-8FC0-76093E925E28}"/>
    <cellStyle name="Normal 2 4 2 4 3 3 2 3" xfId="11882" xr:uid="{44AAAFAC-30E8-4FF4-B379-8A1C76B1F6A7}"/>
    <cellStyle name="Normal 2 4 2 4 3 3 3" xfId="5513" xr:uid="{00000000-0005-0000-0000-0000670F0000}"/>
    <cellStyle name="Normal 2 4 2 4 3 3 3 2" xfId="13955" xr:uid="{9512B53D-0018-4675-9E0B-F691DB6835A5}"/>
    <cellStyle name="Normal 2 4 2 4 3 3 4" xfId="9737" xr:uid="{DF31053C-9E40-4B9B-B540-D7299EF95D39}"/>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C28840B9-310E-46D2-807C-8E3378590190}"/>
    <cellStyle name="Normal 2 4 2 4 3 4 2 3" xfId="12295" xr:uid="{2EC4C97C-DDEF-4F84-B645-7B057DC2F8DE}"/>
    <cellStyle name="Normal 2 4 2 4 3 4 3" xfId="5926" xr:uid="{00000000-0005-0000-0000-00006B0F0000}"/>
    <cellStyle name="Normal 2 4 2 4 3 4 3 2" xfId="14368" xr:uid="{DC4BA806-2D4B-4FB0-8B4A-9702F7CB1857}"/>
    <cellStyle name="Normal 2 4 2 4 3 4 4" xfId="10150" xr:uid="{D0FF8C7F-5212-4FE7-9C3E-6E2BDA03A889}"/>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69E46D1C-5A38-4CA8-9A03-E652DF8B1F93}"/>
    <cellStyle name="Normal 2 4 2 4 3 5 2 3" xfId="12708" xr:uid="{E50861C3-F431-47DF-97C4-BF32032D10E7}"/>
    <cellStyle name="Normal 2 4 2 4 3 5 3" xfId="6339" xr:uid="{00000000-0005-0000-0000-00006F0F0000}"/>
    <cellStyle name="Normal 2 4 2 4 3 5 3 2" xfId="14781" xr:uid="{6C47414A-4BBD-43F4-9390-B998F9FDC581}"/>
    <cellStyle name="Normal 2 4 2 4 3 5 4" xfId="10563" xr:uid="{C88884F4-E8E2-45D6-9F33-21E0F65E89B9}"/>
    <cellStyle name="Normal 2 4 2 4 3 6" xfId="2468" xr:uid="{00000000-0005-0000-0000-0000700F0000}"/>
    <cellStyle name="Normal 2 4 2 4 3 6 2" xfId="6752" xr:uid="{00000000-0005-0000-0000-0000710F0000}"/>
    <cellStyle name="Normal 2 4 2 4 3 6 2 2" xfId="15194" xr:uid="{DF5D46C7-0EAE-4ED0-B7BD-178A6520EB0C}"/>
    <cellStyle name="Normal 2 4 2 4 3 6 3" xfId="10976" xr:uid="{308C5897-F26D-4122-BD8E-1E853B08E7E1}"/>
    <cellStyle name="Normal 2 4 2 4 3 7" xfId="4686" xr:uid="{00000000-0005-0000-0000-0000720F0000}"/>
    <cellStyle name="Normal 2 4 2 4 3 7 2" xfId="13128" xr:uid="{277FCA42-8122-4A56-BF3E-8DC490811761}"/>
    <cellStyle name="Normal 2 4 2 4 3 8" xfId="8910" xr:uid="{108E3EA5-7E50-47C8-8549-434E3B4DE0E5}"/>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CBDA974A-799D-4CC2-975B-EBA29BA8CD57}"/>
    <cellStyle name="Normal 2 4 2 4 4 2 3" xfId="11466" xr:uid="{0B38F447-877E-47FB-A214-040E29B2FFA4}"/>
    <cellStyle name="Normal 2 4 2 4 4 3" xfId="5097" xr:uid="{00000000-0005-0000-0000-0000760F0000}"/>
    <cellStyle name="Normal 2 4 2 4 4 3 2" xfId="13539" xr:uid="{A09088D1-2263-497C-8023-DDFAA0F4D532}"/>
    <cellStyle name="Normal 2 4 2 4 4 4" xfId="9321" xr:uid="{6E619E98-FFA9-4E90-A248-FD2F202634AE}"/>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A0487F46-0874-4437-86A2-D6F9057862A8}"/>
    <cellStyle name="Normal 2 4 2 4 5 2 3" xfId="11879" xr:uid="{68456AFF-C922-45E2-881D-593A354FFC11}"/>
    <cellStyle name="Normal 2 4 2 4 5 3" xfId="5510" xr:uid="{00000000-0005-0000-0000-00007A0F0000}"/>
    <cellStyle name="Normal 2 4 2 4 5 3 2" xfId="13952" xr:uid="{6817D52C-0823-4A85-A292-05133D045512}"/>
    <cellStyle name="Normal 2 4 2 4 5 4" xfId="9734" xr:uid="{2B236C72-A0DD-42B5-9E44-91B562D8E8A2}"/>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C48EF384-E8F2-420A-A890-30DFA36E1C2C}"/>
    <cellStyle name="Normal 2 4 2 4 6 2 3" xfId="12292" xr:uid="{422FFD9C-80ED-4D2F-B1E9-5D497967FE0B}"/>
    <cellStyle name="Normal 2 4 2 4 6 3" xfId="5923" xr:uid="{00000000-0005-0000-0000-00007E0F0000}"/>
    <cellStyle name="Normal 2 4 2 4 6 3 2" xfId="14365" xr:uid="{1A9440E1-79A0-4AD4-BAFB-AA864D50FE49}"/>
    <cellStyle name="Normal 2 4 2 4 6 4" xfId="10147" xr:uid="{F730A0D2-9858-4AF8-8B0D-985F43773D8A}"/>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40640E26-6944-4A09-BEE1-836B4D405FE5}"/>
    <cellStyle name="Normal 2 4 2 4 7 2 3" xfId="12705" xr:uid="{0472C813-9E8D-4642-BE28-6BB182D9697F}"/>
    <cellStyle name="Normal 2 4 2 4 7 3" xfId="6336" xr:uid="{00000000-0005-0000-0000-0000820F0000}"/>
    <cellStyle name="Normal 2 4 2 4 7 3 2" xfId="14778" xr:uid="{A2A85449-2C5A-405D-9EC2-3E65B1B63995}"/>
    <cellStyle name="Normal 2 4 2 4 7 4" xfId="10560" xr:uid="{8393B3F4-5AB0-459A-B329-EB5B6FD55C28}"/>
    <cellStyle name="Normal 2 4 2 4 8" xfId="2465" xr:uid="{00000000-0005-0000-0000-0000830F0000}"/>
    <cellStyle name="Normal 2 4 2 4 8 2" xfId="6749" xr:uid="{00000000-0005-0000-0000-0000840F0000}"/>
    <cellStyle name="Normal 2 4 2 4 8 2 2" xfId="15191" xr:uid="{18FFAB26-C867-44B7-AB3E-60241978608B}"/>
    <cellStyle name="Normal 2 4 2 4 8 3" xfId="10973" xr:uid="{F8297DFB-F95A-4901-9F36-7E051224DBB4}"/>
    <cellStyle name="Normal 2 4 2 4 9" xfId="4683" xr:uid="{00000000-0005-0000-0000-0000850F0000}"/>
    <cellStyle name="Normal 2 4 2 4 9 2" xfId="13125" xr:uid="{CCB0E2C1-ABDF-43E4-A597-B6F3C8DE7F18}"/>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829840EE-1F27-4236-896B-641ABB7052FF}"/>
    <cellStyle name="Normal 2 4 2 5 2 2 2 3" xfId="11471" xr:uid="{C27BA2F1-2F66-4595-9BB5-8578C3EDCD63}"/>
    <cellStyle name="Normal 2 4 2 5 2 2 3" xfId="5102" xr:uid="{00000000-0005-0000-0000-00008B0F0000}"/>
    <cellStyle name="Normal 2 4 2 5 2 2 3 2" xfId="13544" xr:uid="{27B08540-11C9-4A01-8640-F0A5A3477514}"/>
    <cellStyle name="Normal 2 4 2 5 2 2 4" xfId="9326" xr:uid="{92A50771-D5F6-4CC6-A460-8F1CFCC19B1B}"/>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D034C5ED-A1A6-4779-A786-C8349D770551}"/>
    <cellStyle name="Normal 2 4 2 5 2 3 2 3" xfId="11884" xr:uid="{0203B590-DF9E-48B3-B57F-5524F34F7EC4}"/>
    <cellStyle name="Normal 2 4 2 5 2 3 3" xfId="5515" xr:uid="{00000000-0005-0000-0000-00008F0F0000}"/>
    <cellStyle name="Normal 2 4 2 5 2 3 3 2" xfId="13957" xr:uid="{8A099BDD-D897-4968-8221-68D902EC5564}"/>
    <cellStyle name="Normal 2 4 2 5 2 3 4" xfId="9739" xr:uid="{68DB19EF-5AB3-4AD8-B6B2-55BDC13E4A13}"/>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A9734610-2C22-4E44-AC7F-461813BDE0F1}"/>
    <cellStyle name="Normal 2 4 2 5 2 4 2 3" xfId="12297" xr:uid="{84755A9B-98E5-4E0D-B105-1C58CC553C2B}"/>
    <cellStyle name="Normal 2 4 2 5 2 4 3" xfId="5928" xr:uid="{00000000-0005-0000-0000-0000930F0000}"/>
    <cellStyle name="Normal 2 4 2 5 2 4 3 2" xfId="14370" xr:uid="{4EBB15EA-CEF1-4637-8C70-4C077BB13050}"/>
    <cellStyle name="Normal 2 4 2 5 2 4 4" xfId="10152" xr:uid="{EABF9418-EFF6-4C0D-AC48-AF601CA69FF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38A11477-39C3-42B8-A6C0-9AFE7D7A1632}"/>
    <cellStyle name="Normal 2 4 2 5 2 5 2 3" xfId="12710" xr:uid="{2F63811F-4CA2-406F-8C0A-B9BE6F41E4D8}"/>
    <cellStyle name="Normal 2 4 2 5 2 5 3" xfId="6341" xr:uid="{00000000-0005-0000-0000-0000970F0000}"/>
    <cellStyle name="Normal 2 4 2 5 2 5 3 2" xfId="14783" xr:uid="{303CE5DA-2951-4C3C-93A0-A9DDFD51E836}"/>
    <cellStyle name="Normal 2 4 2 5 2 5 4" xfId="10565" xr:uid="{4FCE24C2-EE35-4B85-B720-254EACECCC20}"/>
    <cellStyle name="Normal 2 4 2 5 2 6" xfId="2470" xr:uid="{00000000-0005-0000-0000-0000980F0000}"/>
    <cellStyle name="Normal 2 4 2 5 2 6 2" xfId="6754" xr:uid="{00000000-0005-0000-0000-0000990F0000}"/>
    <cellStyle name="Normal 2 4 2 5 2 6 2 2" xfId="15196" xr:uid="{73063370-A489-4AB0-85C6-5F71807183EB}"/>
    <cellStyle name="Normal 2 4 2 5 2 6 3" xfId="10978" xr:uid="{A1313F38-F118-486D-A2BE-66DA5ABAC838}"/>
    <cellStyle name="Normal 2 4 2 5 2 7" xfId="4688" xr:uid="{00000000-0005-0000-0000-00009A0F0000}"/>
    <cellStyle name="Normal 2 4 2 5 2 7 2" xfId="13130" xr:uid="{E0E8AB22-E755-4A9D-B07E-A3BA3EB0E863}"/>
    <cellStyle name="Normal 2 4 2 5 2 8" xfId="8912" xr:uid="{5F84A553-AB9B-49FB-BECC-3430889BF686}"/>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071A1290-644B-43F4-8881-2A736390564B}"/>
    <cellStyle name="Normal 2 4 2 5 3 2 3" xfId="11470" xr:uid="{6614A6AE-02D6-482A-9DBB-D0A4092DFFE5}"/>
    <cellStyle name="Normal 2 4 2 5 3 3" xfId="5101" xr:uid="{00000000-0005-0000-0000-00009E0F0000}"/>
    <cellStyle name="Normal 2 4 2 5 3 3 2" xfId="13543" xr:uid="{EA644376-55BE-4864-8FF6-8AA1016A86C3}"/>
    <cellStyle name="Normal 2 4 2 5 3 4" xfId="9325" xr:uid="{CE3C4CF0-E1CB-4C10-920F-CFD221E98C3F}"/>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3CD364F5-5110-452D-95E5-59DCE182A787}"/>
    <cellStyle name="Normal 2 4 2 5 4 2 3" xfId="11883" xr:uid="{E9B30934-A01E-49DF-8191-97B8C15B1635}"/>
    <cellStyle name="Normal 2 4 2 5 4 3" xfId="5514" xr:uid="{00000000-0005-0000-0000-0000A20F0000}"/>
    <cellStyle name="Normal 2 4 2 5 4 3 2" xfId="13956" xr:uid="{900E692E-4580-4579-AE45-8A297F213A23}"/>
    <cellStyle name="Normal 2 4 2 5 4 4" xfId="9738" xr:uid="{8C465324-F1C1-4067-A850-BA63DA71FCE5}"/>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9724AE2A-A628-4B24-A5C0-39BB68309F69}"/>
    <cellStyle name="Normal 2 4 2 5 5 2 3" xfId="12296" xr:uid="{F8DA31DE-E3C3-4798-BABD-27579E459FAC}"/>
    <cellStyle name="Normal 2 4 2 5 5 3" xfId="5927" xr:uid="{00000000-0005-0000-0000-0000A60F0000}"/>
    <cellStyle name="Normal 2 4 2 5 5 3 2" xfId="14369" xr:uid="{830FBD8A-1051-49D4-B155-92E981F5D7E8}"/>
    <cellStyle name="Normal 2 4 2 5 5 4" xfId="10151" xr:uid="{309E928B-572E-487E-8201-7766722805E0}"/>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4F727F1A-2DE2-49FB-A90C-DFB8E87C21CC}"/>
    <cellStyle name="Normal 2 4 2 5 6 2 3" xfId="12709" xr:uid="{853D8589-3528-4E08-B65B-B5EB0A01B3AB}"/>
    <cellStyle name="Normal 2 4 2 5 6 3" xfId="6340" xr:uid="{00000000-0005-0000-0000-0000AA0F0000}"/>
    <cellStyle name="Normal 2 4 2 5 6 3 2" xfId="14782" xr:uid="{906E6411-EC24-4C2C-A611-8EE49F6CACF5}"/>
    <cellStyle name="Normal 2 4 2 5 6 4" xfId="10564" xr:uid="{C4F60D74-EC31-44C1-A868-563E62DE93D0}"/>
    <cellStyle name="Normal 2 4 2 5 7" xfId="2469" xr:uid="{00000000-0005-0000-0000-0000AB0F0000}"/>
    <cellStyle name="Normal 2 4 2 5 7 2" xfId="6753" xr:uid="{00000000-0005-0000-0000-0000AC0F0000}"/>
    <cellStyle name="Normal 2 4 2 5 7 2 2" xfId="15195" xr:uid="{9AA408B3-7EA5-4545-9FFC-EA348A5C3527}"/>
    <cellStyle name="Normal 2 4 2 5 7 3" xfId="10977" xr:uid="{FC3BFF9E-5A19-42E8-941F-DF01C3EC76C5}"/>
    <cellStyle name="Normal 2 4 2 5 8" xfId="4687" xr:uid="{00000000-0005-0000-0000-0000AD0F0000}"/>
    <cellStyle name="Normal 2 4 2 5 8 2" xfId="13129" xr:uid="{B20E9208-146A-4984-B753-D2E86FC1CBF7}"/>
    <cellStyle name="Normal 2 4 2 5 9" xfId="8911" xr:uid="{48EB3A28-F592-499D-A252-D9A3C8DE11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3A6AC773-7457-4E8D-9215-F859D6B39E15}"/>
    <cellStyle name="Normal 2 4 2 6 2 2 3" xfId="11472" xr:uid="{C0ADED3F-7FE3-4FCB-A434-F4479E6054A3}"/>
    <cellStyle name="Normal 2 4 2 6 2 3" xfId="5103" xr:uid="{00000000-0005-0000-0000-0000B20F0000}"/>
    <cellStyle name="Normal 2 4 2 6 2 3 2" xfId="13545" xr:uid="{A62F5AF9-618E-44B3-BE9D-D81CCB1E5C86}"/>
    <cellStyle name="Normal 2 4 2 6 2 4" xfId="9327" xr:uid="{D9C7CE11-9290-4DBB-AD9D-3362843A18D2}"/>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5CAA9CB7-81A3-4EBE-9FF3-8FA4A619E7E6}"/>
    <cellStyle name="Normal 2 4 2 6 3 2 3" xfId="11885" xr:uid="{44DDFE39-100B-441E-9157-FDCCFAF89525}"/>
    <cellStyle name="Normal 2 4 2 6 3 3" xfId="5516" xr:uid="{00000000-0005-0000-0000-0000B60F0000}"/>
    <cellStyle name="Normal 2 4 2 6 3 3 2" xfId="13958" xr:uid="{9D4A7A08-2C98-4730-9C12-727D573B160D}"/>
    <cellStyle name="Normal 2 4 2 6 3 4" xfId="9740" xr:uid="{45F7AFFB-2E39-4B37-9DB9-A5F1D327B0EA}"/>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953F1DF6-B541-4303-80E9-F7A9DE623DEB}"/>
    <cellStyle name="Normal 2 4 2 6 4 2 3" xfId="12298" xr:uid="{9E64D112-25DD-40BF-B68D-6AB436E96424}"/>
    <cellStyle name="Normal 2 4 2 6 4 3" xfId="5929" xr:uid="{00000000-0005-0000-0000-0000BA0F0000}"/>
    <cellStyle name="Normal 2 4 2 6 4 3 2" xfId="14371" xr:uid="{D3271A48-02A0-4D71-AF4D-9FE0ACE55E82}"/>
    <cellStyle name="Normal 2 4 2 6 4 4" xfId="10153" xr:uid="{82F0199F-5BCB-4106-B124-FDB0042D435D}"/>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3EEDC550-3726-4922-8A2E-988558C8FFC9}"/>
    <cellStyle name="Normal 2 4 2 6 5 2 3" xfId="12711" xr:uid="{319B736C-23C5-4DDA-B787-09044D871F66}"/>
    <cellStyle name="Normal 2 4 2 6 5 3" xfId="6342" xr:uid="{00000000-0005-0000-0000-0000BE0F0000}"/>
    <cellStyle name="Normal 2 4 2 6 5 3 2" xfId="14784" xr:uid="{9B28FF06-2999-4CA0-88CF-47D138BA4654}"/>
    <cellStyle name="Normal 2 4 2 6 5 4" xfId="10566" xr:uid="{18935C21-A9F8-40C8-975E-4E804AFCB4F5}"/>
    <cellStyle name="Normal 2 4 2 6 6" xfId="2471" xr:uid="{00000000-0005-0000-0000-0000BF0F0000}"/>
    <cellStyle name="Normal 2 4 2 6 6 2" xfId="6755" xr:uid="{00000000-0005-0000-0000-0000C00F0000}"/>
    <cellStyle name="Normal 2 4 2 6 6 2 2" xfId="15197" xr:uid="{8F9962CF-C1AD-424A-B518-79047F0BE9B1}"/>
    <cellStyle name="Normal 2 4 2 6 6 3" xfId="10979" xr:uid="{4A02457A-3DD8-451E-A2B3-51B784A1DA78}"/>
    <cellStyle name="Normal 2 4 2 6 7" xfId="4689" xr:uid="{00000000-0005-0000-0000-0000C10F0000}"/>
    <cellStyle name="Normal 2 4 2 6 7 2" xfId="13131" xr:uid="{583EA7A2-A6E3-4BBE-A566-09A5EDD9BB4C}"/>
    <cellStyle name="Normal 2 4 2 6 8" xfId="8913" xr:uid="{460C0F60-455C-44BE-B303-252D271F30BE}"/>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05A95824-5CF4-4016-8C4C-97842025C88C}"/>
    <cellStyle name="Normal 2 4 2 7 2 3" xfId="11457" xr:uid="{B40381D1-E1E6-4516-B608-9C8FDDD7E696}"/>
    <cellStyle name="Normal 2 4 2 7 3" xfId="5088" xr:uid="{00000000-0005-0000-0000-0000C50F0000}"/>
    <cellStyle name="Normal 2 4 2 7 3 2" xfId="13530" xr:uid="{4FD472DE-1D8C-4C4C-8764-0386CC34597E}"/>
    <cellStyle name="Normal 2 4 2 7 4" xfId="9312" xr:uid="{BF66FFF3-A9B3-4387-80E6-DCB6CBC74C7D}"/>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39730391-C06F-4B00-B023-F8088ED2F6E4}"/>
    <cellStyle name="Normal 2 4 2 8 2 3" xfId="11870" xr:uid="{97324032-4C90-4FB5-9730-04F96D4A66FB}"/>
    <cellStyle name="Normal 2 4 2 8 3" xfId="5501" xr:uid="{00000000-0005-0000-0000-0000C90F0000}"/>
    <cellStyle name="Normal 2 4 2 8 3 2" xfId="13943" xr:uid="{912223CA-D38A-4F11-B30D-FB6A07E93D95}"/>
    <cellStyle name="Normal 2 4 2 8 4" xfId="9725" xr:uid="{1B326F84-0516-4992-9E0E-7C13E2FCD9FB}"/>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5938477B-8773-4B2A-BE3B-EC39B6E2EB7D}"/>
    <cellStyle name="Normal 2 4 2 9 2 3" xfId="12283" xr:uid="{F780A379-4CB8-4C49-9111-25B591304D71}"/>
    <cellStyle name="Normal 2 4 2 9 3" xfId="5914" xr:uid="{00000000-0005-0000-0000-0000CD0F0000}"/>
    <cellStyle name="Normal 2 4 2 9 3 2" xfId="14356" xr:uid="{E602E9EF-FD55-4ED8-A76A-2F1C2AB18436}"/>
    <cellStyle name="Normal 2 4 2 9 4" xfId="10138" xr:uid="{B2CCDF75-246D-48D2-8537-7F2F04961C2E}"/>
    <cellStyle name="Normal 2 4 3" xfId="296" xr:uid="{00000000-0005-0000-0000-0000CE0F0000}"/>
    <cellStyle name="Normal 2 4 3 10" xfId="8914" xr:uid="{1FBAB56F-51A2-4755-9BF5-AE4E6BA378DD}"/>
    <cellStyle name="Normal 2 4 3 2" xfId="297" xr:uid="{00000000-0005-0000-0000-0000CF0F0000}"/>
    <cellStyle name="Normal 2 4 3 3" xfId="298" xr:uid="{00000000-0005-0000-0000-0000D00F0000}"/>
    <cellStyle name="Normal 2 4 3 3 10" xfId="8915" xr:uid="{FA47D7FE-DA6B-4297-8148-481E67EF4D82}"/>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985398A9-1516-4DC4-9FFE-A0177CD760F7}"/>
    <cellStyle name="Normal 2 4 3 3 2 2 2 2 3" xfId="11476" xr:uid="{DE2F5D37-5846-482E-B67E-2CF44AE1CF84}"/>
    <cellStyle name="Normal 2 4 3 3 2 2 2 3" xfId="5107" xr:uid="{00000000-0005-0000-0000-0000D60F0000}"/>
    <cellStyle name="Normal 2 4 3 3 2 2 2 3 2" xfId="13549" xr:uid="{9F7B3E1A-21C5-46DF-A460-1F6DC2833AE0}"/>
    <cellStyle name="Normal 2 4 3 3 2 2 2 4" xfId="9331" xr:uid="{4EBC7912-CA89-431B-8E1F-9B9B9226D4CE}"/>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DC55C59A-DB33-434E-913E-AFA7C85FE3BC}"/>
    <cellStyle name="Normal 2 4 3 3 2 2 3 2 3" xfId="11889" xr:uid="{38E4EB40-3D8D-4AD1-A888-A5989689E205}"/>
    <cellStyle name="Normal 2 4 3 3 2 2 3 3" xfId="5520" xr:uid="{00000000-0005-0000-0000-0000DA0F0000}"/>
    <cellStyle name="Normal 2 4 3 3 2 2 3 3 2" xfId="13962" xr:uid="{219948D3-6721-4F11-9E83-6D1A9B50C260}"/>
    <cellStyle name="Normal 2 4 3 3 2 2 3 4" xfId="9744" xr:uid="{4A862424-1AE7-4A36-86D3-2A4B6344DF38}"/>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27B853DD-6AA0-4B2D-9382-AF9F953A4DBF}"/>
    <cellStyle name="Normal 2 4 3 3 2 2 4 2 3" xfId="12302" xr:uid="{74D7F5E2-0D65-4452-A4FF-599133B766C6}"/>
    <cellStyle name="Normal 2 4 3 3 2 2 4 3" xfId="5933" xr:uid="{00000000-0005-0000-0000-0000DE0F0000}"/>
    <cellStyle name="Normal 2 4 3 3 2 2 4 3 2" xfId="14375" xr:uid="{58361124-AA71-4CB9-A2E0-C0DA2036F0E4}"/>
    <cellStyle name="Normal 2 4 3 3 2 2 4 4" xfId="10157" xr:uid="{D29BF197-5C05-49A5-8EAA-3C7DED1F9FC3}"/>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6AF29B75-A5E9-4797-817D-49F4534CDF36}"/>
    <cellStyle name="Normal 2 4 3 3 2 2 5 2 3" xfId="12715" xr:uid="{19FEA841-287B-444C-991A-6E9C00F1C3F9}"/>
    <cellStyle name="Normal 2 4 3 3 2 2 5 3" xfId="6346" xr:uid="{00000000-0005-0000-0000-0000E20F0000}"/>
    <cellStyle name="Normal 2 4 3 3 2 2 5 3 2" xfId="14788" xr:uid="{283977A7-1C1C-4C3D-B841-FCE4C3AF6A0C}"/>
    <cellStyle name="Normal 2 4 3 3 2 2 5 4" xfId="10570" xr:uid="{EAF71148-DB84-4BE1-81CB-588A046C6DAE}"/>
    <cellStyle name="Normal 2 4 3 3 2 2 6" xfId="2475" xr:uid="{00000000-0005-0000-0000-0000E30F0000}"/>
    <cellStyle name="Normal 2 4 3 3 2 2 6 2" xfId="6759" xr:uid="{00000000-0005-0000-0000-0000E40F0000}"/>
    <cellStyle name="Normal 2 4 3 3 2 2 6 2 2" xfId="15201" xr:uid="{45185DB2-CF47-4232-A71C-FF1004EE7E0C}"/>
    <cellStyle name="Normal 2 4 3 3 2 2 6 3" xfId="10983" xr:uid="{F8CA33A6-5BF3-470F-A408-6B2EDC0101B4}"/>
    <cellStyle name="Normal 2 4 3 3 2 2 7" xfId="4693" xr:uid="{00000000-0005-0000-0000-0000E50F0000}"/>
    <cellStyle name="Normal 2 4 3 3 2 2 7 2" xfId="13135" xr:uid="{23BA3C76-DDA1-43CE-ADF0-DD761F8BB193}"/>
    <cellStyle name="Normal 2 4 3 3 2 2 8" xfId="8917" xr:uid="{FF213A57-6373-4B4A-801E-D5F5807C399F}"/>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6D8D30A8-BA8F-41B7-90B7-AABB8DD8C5C0}"/>
    <cellStyle name="Normal 2 4 3 3 2 3 2 3" xfId="11475" xr:uid="{187CD1D3-1A74-4A65-82D0-AF0FEF213015}"/>
    <cellStyle name="Normal 2 4 3 3 2 3 3" xfId="5106" xr:uid="{00000000-0005-0000-0000-0000E90F0000}"/>
    <cellStyle name="Normal 2 4 3 3 2 3 3 2" xfId="13548" xr:uid="{3C13874E-CF3E-463C-A0B2-3C9BCD53A2A8}"/>
    <cellStyle name="Normal 2 4 3 3 2 3 4" xfId="9330" xr:uid="{13C08032-3D2D-4847-8C9B-AA6F84A4761C}"/>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0BB47499-3D17-45AA-8A2E-A2EA22DB153C}"/>
    <cellStyle name="Normal 2 4 3 3 2 4 2 3" xfId="11888" xr:uid="{0E7DFBFE-70F1-4B0D-8F4E-05E78ED264EC}"/>
    <cellStyle name="Normal 2 4 3 3 2 4 3" xfId="5519" xr:uid="{00000000-0005-0000-0000-0000ED0F0000}"/>
    <cellStyle name="Normal 2 4 3 3 2 4 3 2" xfId="13961" xr:uid="{04A8AD9B-8CFF-4F79-8C66-F8903EFC0E2D}"/>
    <cellStyle name="Normal 2 4 3 3 2 4 4" xfId="9743" xr:uid="{10BC2BE9-3C71-4F80-AEAC-B98E014C9FA3}"/>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C7F4EB1F-DA00-4DDA-AA4C-CA4EA868CB37}"/>
    <cellStyle name="Normal 2 4 3 3 2 5 2 3" xfId="12301" xr:uid="{AE40415C-1145-4E9C-8323-D17F3C1CEE57}"/>
    <cellStyle name="Normal 2 4 3 3 2 5 3" xfId="5932" xr:uid="{00000000-0005-0000-0000-0000F10F0000}"/>
    <cellStyle name="Normal 2 4 3 3 2 5 3 2" xfId="14374" xr:uid="{6F93301B-4A90-473C-9029-83EBA55BB71A}"/>
    <cellStyle name="Normal 2 4 3 3 2 5 4" xfId="10156" xr:uid="{B14F3BEE-53A9-428E-B9EE-E6D1B5B25478}"/>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549B7891-1430-4AFB-8CFF-EB69697F8559}"/>
    <cellStyle name="Normal 2 4 3 3 2 6 2 3" xfId="12714" xr:uid="{B8C611AE-F371-4159-9954-8CAC1B1F87D4}"/>
    <cellStyle name="Normal 2 4 3 3 2 6 3" xfId="6345" xr:uid="{00000000-0005-0000-0000-0000F50F0000}"/>
    <cellStyle name="Normal 2 4 3 3 2 6 3 2" xfId="14787" xr:uid="{3177240A-98BF-483B-841D-17354E343F1E}"/>
    <cellStyle name="Normal 2 4 3 3 2 6 4" xfId="10569" xr:uid="{9C8E53A8-CD51-4B7B-BCF2-0150DDFBF02C}"/>
    <cellStyle name="Normal 2 4 3 3 2 7" xfId="2474" xr:uid="{00000000-0005-0000-0000-0000F60F0000}"/>
    <cellStyle name="Normal 2 4 3 3 2 7 2" xfId="6758" xr:uid="{00000000-0005-0000-0000-0000F70F0000}"/>
    <cellStyle name="Normal 2 4 3 3 2 7 2 2" xfId="15200" xr:uid="{86C284F3-31EF-4434-AA32-E3F388434DCE}"/>
    <cellStyle name="Normal 2 4 3 3 2 7 3" xfId="10982" xr:uid="{A375895A-1378-497C-BC0D-7CB1AA37A216}"/>
    <cellStyle name="Normal 2 4 3 3 2 8" xfId="4692" xr:uid="{00000000-0005-0000-0000-0000F80F0000}"/>
    <cellStyle name="Normal 2 4 3 3 2 8 2" xfId="13134" xr:uid="{18CBB90B-1272-4D9B-9A1D-0EB358EE1309}"/>
    <cellStyle name="Normal 2 4 3 3 2 9" xfId="8916" xr:uid="{BF747338-F112-4393-8DD6-EBE1CCE228AD}"/>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2884EDE0-6168-4BEF-98CE-6CCF09D9A71D}"/>
    <cellStyle name="Normal 2 4 3 3 3 2 2 3" xfId="11477" xr:uid="{4567EE36-49F9-4978-B834-63D880A3FCAE}"/>
    <cellStyle name="Normal 2 4 3 3 3 2 3" xfId="5108" xr:uid="{00000000-0005-0000-0000-0000FD0F0000}"/>
    <cellStyle name="Normal 2 4 3 3 3 2 3 2" xfId="13550" xr:uid="{F48A4B8A-32C8-4C1C-8373-2E69FB42EFB4}"/>
    <cellStyle name="Normal 2 4 3 3 3 2 4" xfId="9332" xr:uid="{ED3751FE-788A-4594-B8FC-053C8CEA10D3}"/>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1312E0CA-CABB-4F5B-B640-C84841262CAA}"/>
    <cellStyle name="Normal 2 4 3 3 3 3 2 3" xfId="11890" xr:uid="{5853084F-2AFA-4198-B77E-D37E92CCC82E}"/>
    <cellStyle name="Normal 2 4 3 3 3 3 3" xfId="5521" xr:uid="{00000000-0005-0000-0000-000001100000}"/>
    <cellStyle name="Normal 2 4 3 3 3 3 3 2" xfId="13963" xr:uid="{F3C1F806-D66D-474E-9A4F-C8A4CF66C368}"/>
    <cellStyle name="Normal 2 4 3 3 3 3 4" xfId="9745" xr:uid="{5D58BA12-C2DB-469A-873F-0633928658DF}"/>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57CDA65D-CB06-40CD-93F4-F54FC2425BB8}"/>
    <cellStyle name="Normal 2 4 3 3 3 4 2 3" xfId="12303" xr:uid="{65DF9001-0928-4AAF-B3ED-CFC36A6CC603}"/>
    <cellStyle name="Normal 2 4 3 3 3 4 3" xfId="5934" xr:uid="{00000000-0005-0000-0000-000005100000}"/>
    <cellStyle name="Normal 2 4 3 3 3 4 3 2" xfId="14376" xr:uid="{B1496046-9355-48AF-A0AF-84218A353DEB}"/>
    <cellStyle name="Normal 2 4 3 3 3 4 4" xfId="10158" xr:uid="{01706433-FB28-4914-ABBB-8AFD26C1642E}"/>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7CE180A7-E3EA-4566-B600-18404380EE10}"/>
    <cellStyle name="Normal 2 4 3 3 3 5 2 3" xfId="12716" xr:uid="{8D8FF8C9-374F-4FB7-9FEB-256344B961BE}"/>
    <cellStyle name="Normal 2 4 3 3 3 5 3" xfId="6347" xr:uid="{00000000-0005-0000-0000-000009100000}"/>
    <cellStyle name="Normal 2 4 3 3 3 5 3 2" xfId="14789" xr:uid="{177687A9-91FC-4332-B26F-799AD9240DC9}"/>
    <cellStyle name="Normal 2 4 3 3 3 5 4" xfId="10571" xr:uid="{26D9C9EF-9612-4CED-8CB4-51E88DD36D73}"/>
    <cellStyle name="Normal 2 4 3 3 3 6" xfId="2476" xr:uid="{00000000-0005-0000-0000-00000A100000}"/>
    <cellStyle name="Normal 2 4 3 3 3 6 2" xfId="6760" xr:uid="{00000000-0005-0000-0000-00000B100000}"/>
    <cellStyle name="Normal 2 4 3 3 3 6 2 2" xfId="15202" xr:uid="{E670A81D-AE8E-4BA9-8E2D-68087D7A8318}"/>
    <cellStyle name="Normal 2 4 3 3 3 6 3" xfId="10984" xr:uid="{13D02646-D84A-4F78-98EA-96C04E57F883}"/>
    <cellStyle name="Normal 2 4 3 3 3 7" xfId="4694" xr:uid="{00000000-0005-0000-0000-00000C100000}"/>
    <cellStyle name="Normal 2 4 3 3 3 7 2" xfId="13136" xr:uid="{7551151E-6105-4931-8D48-2F7AEBE52F93}"/>
    <cellStyle name="Normal 2 4 3 3 3 8" xfId="8918" xr:uid="{AC284873-08E5-4A70-A721-EE564F445CC2}"/>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C1A4CC37-C3F5-46F2-B713-D19CAAA6BFA4}"/>
    <cellStyle name="Normal 2 4 3 3 4 2 3" xfId="11474" xr:uid="{D8B6A219-259E-4738-A6C6-920E21D8FCBF}"/>
    <cellStyle name="Normal 2 4 3 3 4 3" xfId="5105" xr:uid="{00000000-0005-0000-0000-000010100000}"/>
    <cellStyle name="Normal 2 4 3 3 4 3 2" xfId="13547" xr:uid="{CAE2DD7A-EBE0-4294-934F-22F3C444BBE3}"/>
    <cellStyle name="Normal 2 4 3 3 4 4" xfId="9329" xr:uid="{75661B5A-ED04-4178-B887-B96FA9DD2126}"/>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4FABF7E9-9B9F-4DC3-A25A-85A19AC8B3A7}"/>
    <cellStyle name="Normal 2 4 3 3 5 2 3" xfId="11887" xr:uid="{181FB305-936C-42C4-BE29-7B2FB5668BB3}"/>
    <cellStyle name="Normal 2 4 3 3 5 3" xfId="5518" xr:uid="{00000000-0005-0000-0000-000014100000}"/>
    <cellStyle name="Normal 2 4 3 3 5 3 2" xfId="13960" xr:uid="{0F318823-40FA-45E4-BE1D-BF51D924D9FB}"/>
    <cellStyle name="Normal 2 4 3 3 5 4" xfId="9742" xr:uid="{51932D43-5C0E-45E3-8E50-9912C3D37510}"/>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DE7452B9-7073-45C2-A1CF-FFA8AA8D4A7E}"/>
    <cellStyle name="Normal 2 4 3 3 6 2 3" xfId="12300" xr:uid="{2E24E9CE-5BBF-4A5F-A020-E94849AA5487}"/>
    <cellStyle name="Normal 2 4 3 3 6 3" xfId="5931" xr:uid="{00000000-0005-0000-0000-000018100000}"/>
    <cellStyle name="Normal 2 4 3 3 6 3 2" xfId="14373" xr:uid="{78262A31-90DB-4C63-A3AD-DD4EF48C60C1}"/>
    <cellStyle name="Normal 2 4 3 3 6 4" xfId="10155" xr:uid="{DFAD3BDB-9E21-4DCC-ACB6-A7D17F453DEE}"/>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05358A39-0A05-4F42-B7E0-8AD5A731B9A2}"/>
    <cellStyle name="Normal 2 4 3 3 7 2 3" xfId="12713" xr:uid="{E87B76F6-2EC9-435F-86CF-09A7AA7E9462}"/>
    <cellStyle name="Normal 2 4 3 3 7 3" xfId="6344" xr:uid="{00000000-0005-0000-0000-00001C100000}"/>
    <cellStyle name="Normal 2 4 3 3 7 3 2" xfId="14786" xr:uid="{C656CBB5-ECB6-4288-A5B6-EE9281CAAA40}"/>
    <cellStyle name="Normal 2 4 3 3 7 4" xfId="10568" xr:uid="{5B07C21C-7C89-4F14-9B3F-59A50D95DF55}"/>
    <cellStyle name="Normal 2 4 3 3 8" xfId="2473" xr:uid="{00000000-0005-0000-0000-00001D100000}"/>
    <cellStyle name="Normal 2 4 3 3 8 2" xfId="6757" xr:uid="{00000000-0005-0000-0000-00001E100000}"/>
    <cellStyle name="Normal 2 4 3 3 8 2 2" xfId="15199" xr:uid="{FAAC223E-68EE-4D8B-88F6-D09222ED659E}"/>
    <cellStyle name="Normal 2 4 3 3 8 3" xfId="10981" xr:uid="{3531CC6E-BD1F-4E72-9FC2-D345E242B0D4}"/>
    <cellStyle name="Normal 2 4 3 3 9" xfId="4691" xr:uid="{00000000-0005-0000-0000-00001F100000}"/>
    <cellStyle name="Normal 2 4 3 3 9 2" xfId="13133" xr:uid="{4849690A-9AEB-47A0-9CB8-3440EF0722FD}"/>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F777FB19-D020-4596-80E7-1A086C18FF6A}"/>
    <cellStyle name="Normal 2 4 3 4 2 3" xfId="11473" xr:uid="{FFB662C7-8DEF-47EB-8C23-D5A9E7E2F1AB}"/>
    <cellStyle name="Normal 2 4 3 4 3" xfId="5104" xr:uid="{00000000-0005-0000-0000-000023100000}"/>
    <cellStyle name="Normal 2 4 3 4 3 2" xfId="13546" xr:uid="{9EA92BC5-678C-4206-982B-FD0F285785E8}"/>
    <cellStyle name="Normal 2 4 3 4 4" xfId="9328" xr:uid="{21D9A0E3-14CA-45AE-BD8A-E36D94352ED6}"/>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1BB7EC2D-F49C-45A3-8B10-CFC925E2D140}"/>
    <cellStyle name="Normal 2 4 3 5 2 3" xfId="11886" xr:uid="{1C5E0253-03B4-4703-A02E-00EA42EC7ADC}"/>
    <cellStyle name="Normal 2 4 3 5 3" xfId="5517" xr:uid="{00000000-0005-0000-0000-000027100000}"/>
    <cellStyle name="Normal 2 4 3 5 3 2" xfId="13959" xr:uid="{AF3E7AD6-3C53-4FBD-A993-B4CC9EA37136}"/>
    <cellStyle name="Normal 2 4 3 5 4" xfId="9741" xr:uid="{4D761B7E-4316-476A-B9A4-54083147C88D}"/>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7AFB368A-20CD-4C20-B360-FCBD4C6D251D}"/>
    <cellStyle name="Normal 2 4 3 6 2 3" xfId="12299" xr:uid="{29EC64ED-6628-407D-9D52-357EEFD0EA16}"/>
    <cellStyle name="Normal 2 4 3 6 3" xfId="5930" xr:uid="{00000000-0005-0000-0000-00002B100000}"/>
    <cellStyle name="Normal 2 4 3 6 3 2" xfId="14372" xr:uid="{BD89D953-0064-48D3-9BC4-CC3FFBD6EEDB}"/>
    <cellStyle name="Normal 2 4 3 6 4" xfId="10154" xr:uid="{CEE57A0C-0F49-472C-AD94-2683920B2AE2}"/>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05C8CF1A-3684-4394-A450-975B214149DA}"/>
    <cellStyle name="Normal 2 4 3 7 2 3" xfId="12712" xr:uid="{AE332A7C-744C-4B41-98A5-2EF190AD3CB5}"/>
    <cellStyle name="Normal 2 4 3 7 3" xfId="6343" xr:uid="{00000000-0005-0000-0000-00002F100000}"/>
    <cellStyle name="Normal 2 4 3 7 3 2" xfId="14785" xr:uid="{E654C053-ACE9-44ED-95BF-8B1BCA13D9DE}"/>
    <cellStyle name="Normal 2 4 3 7 4" xfId="10567" xr:uid="{18205B9F-972A-4B45-A2AC-8A2933EC9464}"/>
    <cellStyle name="Normal 2 4 3 8" xfId="2472" xr:uid="{00000000-0005-0000-0000-000030100000}"/>
    <cellStyle name="Normal 2 4 3 8 2" xfId="6756" xr:uid="{00000000-0005-0000-0000-000031100000}"/>
    <cellStyle name="Normal 2 4 3 8 2 2" xfId="15198" xr:uid="{9DC0F913-81A4-4668-A95B-36B3F2CDDD7A}"/>
    <cellStyle name="Normal 2 4 3 8 3" xfId="10980" xr:uid="{16735700-20AF-4B0E-BE9E-15D3025625CC}"/>
    <cellStyle name="Normal 2 4 3 9" xfId="4690" xr:uid="{00000000-0005-0000-0000-000032100000}"/>
    <cellStyle name="Normal 2 4 3 9 2" xfId="13132" xr:uid="{AA854128-CD9D-4293-9352-3E3A17E99C04}"/>
    <cellStyle name="Normal 2 4 4" xfId="302" xr:uid="{00000000-0005-0000-0000-000033100000}"/>
    <cellStyle name="Normal 2 4 5" xfId="303" xr:uid="{00000000-0005-0000-0000-000034100000}"/>
    <cellStyle name="Normal 2 4 5 10" xfId="4695" xr:uid="{00000000-0005-0000-0000-000035100000}"/>
    <cellStyle name="Normal 2 4 5 10 2" xfId="13137" xr:uid="{5F7B6E9D-87C5-4DD2-BCDF-D057A8DE34C0}"/>
    <cellStyle name="Normal 2 4 5 11" xfId="8919" xr:uid="{6ABE5EFC-A0F6-4C4C-9594-05CB3A8BD5A7}"/>
    <cellStyle name="Normal 2 4 5 2" xfId="304" xr:uid="{00000000-0005-0000-0000-000036100000}"/>
    <cellStyle name="Normal 2 4 5 2 10" xfId="8920" xr:uid="{5F2FFFEA-9927-4D3E-BFB9-E1F9BF45292F}"/>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55780E51-2D12-42E2-9FD1-71E216366CB3}"/>
    <cellStyle name="Normal 2 4 5 2 2 2 2 2 3" xfId="11481" xr:uid="{C97F1BC8-39E5-4467-ACF0-03121D3B782C}"/>
    <cellStyle name="Normal 2 4 5 2 2 2 2 3" xfId="5112" xr:uid="{00000000-0005-0000-0000-00003C100000}"/>
    <cellStyle name="Normal 2 4 5 2 2 2 2 3 2" xfId="13554" xr:uid="{54887DBD-38CB-45B9-8885-E1627B50106E}"/>
    <cellStyle name="Normal 2 4 5 2 2 2 2 4" xfId="9336" xr:uid="{ED838172-F166-4C72-96CB-7B72EFC2F567}"/>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9EABAE64-EE29-4849-AC0A-6B933E0F3BEB}"/>
    <cellStyle name="Normal 2 4 5 2 2 2 3 2 3" xfId="11894" xr:uid="{0655B82B-7DC5-4F8F-BC38-9D46E57E1EBA}"/>
    <cellStyle name="Normal 2 4 5 2 2 2 3 3" xfId="5525" xr:uid="{00000000-0005-0000-0000-000040100000}"/>
    <cellStyle name="Normal 2 4 5 2 2 2 3 3 2" xfId="13967" xr:uid="{5CDADC12-652C-40A3-BBE1-92C66A9789D1}"/>
    <cellStyle name="Normal 2 4 5 2 2 2 3 4" xfId="9749" xr:uid="{8E00C352-DA56-4B28-AEBE-CDD2F3944BDE}"/>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500CA5FC-914D-4DD5-97FB-8700554D6BF1}"/>
    <cellStyle name="Normal 2 4 5 2 2 2 4 2 3" xfId="12307" xr:uid="{36D9F3CC-5DF4-4B60-AC69-50C732A55FF7}"/>
    <cellStyle name="Normal 2 4 5 2 2 2 4 3" xfId="5938" xr:uid="{00000000-0005-0000-0000-000044100000}"/>
    <cellStyle name="Normal 2 4 5 2 2 2 4 3 2" xfId="14380" xr:uid="{88E6D9BE-411C-404B-92DC-4E112B3088C6}"/>
    <cellStyle name="Normal 2 4 5 2 2 2 4 4" xfId="10162" xr:uid="{F32D4E70-24D6-4F3F-83E3-53F373E8E9DC}"/>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04F3EF70-1216-4B6B-8199-C4711688C78B}"/>
    <cellStyle name="Normal 2 4 5 2 2 2 5 2 3" xfId="12720" xr:uid="{642CD1CD-3291-4C3C-89C1-C7F10E1BD10B}"/>
    <cellStyle name="Normal 2 4 5 2 2 2 5 3" xfId="6351" xr:uid="{00000000-0005-0000-0000-000048100000}"/>
    <cellStyle name="Normal 2 4 5 2 2 2 5 3 2" xfId="14793" xr:uid="{3E1AF483-BE3F-4F7D-8177-DDC1473723E0}"/>
    <cellStyle name="Normal 2 4 5 2 2 2 5 4" xfId="10575" xr:uid="{DC14A191-0CE7-4CC3-B0D7-7463BAC62010}"/>
    <cellStyle name="Normal 2 4 5 2 2 2 6" xfId="2480" xr:uid="{00000000-0005-0000-0000-000049100000}"/>
    <cellStyle name="Normal 2 4 5 2 2 2 6 2" xfId="6764" xr:uid="{00000000-0005-0000-0000-00004A100000}"/>
    <cellStyle name="Normal 2 4 5 2 2 2 6 2 2" xfId="15206" xr:uid="{4E80EF15-F265-4A44-B805-8417EFAAFDFE}"/>
    <cellStyle name="Normal 2 4 5 2 2 2 6 3" xfId="10988" xr:uid="{131D814E-21A1-4FA9-B4AC-DB45113DE6FE}"/>
    <cellStyle name="Normal 2 4 5 2 2 2 7" xfId="4698" xr:uid="{00000000-0005-0000-0000-00004B100000}"/>
    <cellStyle name="Normal 2 4 5 2 2 2 7 2" xfId="13140" xr:uid="{40CA4064-4BF9-41C8-BC8B-4FAAEB4CCAA6}"/>
    <cellStyle name="Normal 2 4 5 2 2 2 8" xfId="8922" xr:uid="{AB0A1C6D-B8B9-450C-A56E-01BA5F3F0BC8}"/>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F08D62B7-CC78-41AB-9724-B2FB52723913}"/>
    <cellStyle name="Normal 2 4 5 2 2 3 2 3" xfId="11480" xr:uid="{9EF3B302-52AB-44FF-BC21-A873D670A57F}"/>
    <cellStyle name="Normal 2 4 5 2 2 3 3" xfId="5111" xr:uid="{00000000-0005-0000-0000-00004F100000}"/>
    <cellStyle name="Normal 2 4 5 2 2 3 3 2" xfId="13553" xr:uid="{BF6AFD33-B5A9-4532-B94B-0F48040242BA}"/>
    <cellStyle name="Normal 2 4 5 2 2 3 4" xfId="9335" xr:uid="{DB82F510-DEDB-4EA5-8922-717EA1FC56F6}"/>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D8339CAC-8587-4ABC-AE3F-C42DACAC335C}"/>
    <cellStyle name="Normal 2 4 5 2 2 4 2 3" xfId="11893" xr:uid="{B732A3DF-F582-48C7-BC28-81B993D378CA}"/>
    <cellStyle name="Normal 2 4 5 2 2 4 3" xfId="5524" xr:uid="{00000000-0005-0000-0000-000053100000}"/>
    <cellStyle name="Normal 2 4 5 2 2 4 3 2" xfId="13966" xr:uid="{5CCC2E06-DA03-4764-AFD7-01271CCD9DD0}"/>
    <cellStyle name="Normal 2 4 5 2 2 4 4" xfId="9748" xr:uid="{46B2CE8C-9F64-48D5-A4FA-286B156B4285}"/>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940DDA7A-A69D-4DC8-8211-13F4641479BD}"/>
    <cellStyle name="Normal 2 4 5 2 2 5 2 3" xfId="12306" xr:uid="{C8D0E93B-593A-4252-8B16-FDA5CAC0544F}"/>
    <cellStyle name="Normal 2 4 5 2 2 5 3" xfId="5937" xr:uid="{00000000-0005-0000-0000-000057100000}"/>
    <cellStyle name="Normal 2 4 5 2 2 5 3 2" xfId="14379" xr:uid="{D7AB83D3-C230-4533-9D5D-C00080AC1F01}"/>
    <cellStyle name="Normal 2 4 5 2 2 5 4" xfId="10161" xr:uid="{68E07F87-09D6-48B1-B018-67A33CE5ADC5}"/>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7939203B-7C43-40B4-996B-87AB7A78094F}"/>
    <cellStyle name="Normal 2 4 5 2 2 6 2 3" xfId="12719" xr:uid="{502F5E23-604C-4417-A559-5888AC31E4FF}"/>
    <cellStyle name="Normal 2 4 5 2 2 6 3" xfId="6350" xr:uid="{00000000-0005-0000-0000-00005B100000}"/>
    <cellStyle name="Normal 2 4 5 2 2 6 3 2" xfId="14792" xr:uid="{BEF341D2-A5C9-4284-9075-E85CFFEBA431}"/>
    <cellStyle name="Normal 2 4 5 2 2 6 4" xfId="10574" xr:uid="{85ADF95B-F849-4E63-B3E4-F42C60BFA7BE}"/>
    <cellStyle name="Normal 2 4 5 2 2 7" xfId="2479" xr:uid="{00000000-0005-0000-0000-00005C100000}"/>
    <cellStyle name="Normal 2 4 5 2 2 7 2" xfId="6763" xr:uid="{00000000-0005-0000-0000-00005D100000}"/>
    <cellStyle name="Normal 2 4 5 2 2 7 2 2" xfId="15205" xr:uid="{3433EEC2-DFE1-48DC-9986-3FED6E0EE0D7}"/>
    <cellStyle name="Normal 2 4 5 2 2 7 3" xfId="10987" xr:uid="{2A949082-EC29-4CDF-888A-60459C588ED6}"/>
    <cellStyle name="Normal 2 4 5 2 2 8" xfId="4697" xr:uid="{00000000-0005-0000-0000-00005E100000}"/>
    <cellStyle name="Normal 2 4 5 2 2 8 2" xfId="13139" xr:uid="{A9E19C67-7FE6-4EDD-A10E-39A72E4EE603}"/>
    <cellStyle name="Normal 2 4 5 2 2 9" xfId="8921" xr:uid="{0133B36F-DC8B-4D40-B534-3B3C6BB6B7A6}"/>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B89108F8-89F3-4EAD-A6E8-17AE7E61EE10}"/>
    <cellStyle name="Normal 2 4 5 2 3 2 2 3" xfId="11482" xr:uid="{7A5F1F92-BC53-44AF-AF7A-BB8DD396143D}"/>
    <cellStyle name="Normal 2 4 5 2 3 2 3" xfId="5113" xr:uid="{00000000-0005-0000-0000-000063100000}"/>
    <cellStyle name="Normal 2 4 5 2 3 2 3 2" xfId="13555" xr:uid="{FB9220A0-A21B-4336-B483-ED431262DD46}"/>
    <cellStyle name="Normal 2 4 5 2 3 2 4" xfId="9337" xr:uid="{3E784CC6-58D4-4EA7-B5D4-A7664D4B0A65}"/>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6B55508C-EB3E-4AEC-93DD-81B0C2316C8D}"/>
    <cellStyle name="Normal 2 4 5 2 3 3 2 3" xfId="11895" xr:uid="{AB825DB3-DB22-42FA-8A5D-4D8348D55B22}"/>
    <cellStyle name="Normal 2 4 5 2 3 3 3" xfId="5526" xr:uid="{00000000-0005-0000-0000-000067100000}"/>
    <cellStyle name="Normal 2 4 5 2 3 3 3 2" xfId="13968" xr:uid="{41D17914-ABD0-4AFD-84BA-41B4CB109E16}"/>
    <cellStyle name="Normal 2 4 5 2 3 3 4" xfId="9750" xr:uid="{6D5E57D4-E3C8-4ADF-9C5D-921F19BE86ED}"/>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D1F50922-BBC7-42EC-8110-CD802C8199EC}"/>
    <cellStyle name="Normal 2 4 5 2 3 4 2 3" xfId="12308" xr:uid="{89FA3FB3-E1DD-44E6-97FF-29B7C353A4D4}"/>
    <cellStyle name="Normal 2 4 5 2 3 4 3" xfId="5939" xr:uid="{00000000-0005-0000-0000-00006B100000}"/>
    <cellStyle name="Normal 2 4 5 2 3 4 3 2" xfId="14381" xr:uid="{4834DE88-FB20-4663-9776-E68AF9DEC615}"/>
    <cellStyle name="Normal 2 4 5 2 3 4 4" xfId="10163" xr:uid="{0981F114-0471-4792-AE31-50CFB3C31A7E}"/>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63A27650-C7E0-4C0E-9391-7F63DFB28CF0}"/>
    <cellStyle name="Normal 2 4 5 2 3 5 2 3" xfId="12721" xr:uid="{21BDE3D1-0421-46A3-99BC-20AAE08AE762}"/>
    <cellStyle name="Normal 2 4 5 2 3 5 3" xfId="6352" xr:uid="{00000000-0005-0000-0000-00006F100000}"/>
    <cellStyle name="Normal 2 4 5 2 3 5 3 2" xfId="14794" xr:uid="{846734CE-94E3-4CE3-9D81-6B3DF4CF41D1}"/>
    <cellStyle name="Normal 2 4 5 2 3 5 4" xfId="10576" xr:uid="{6C1AEFEC-13E5-456F-86BD-D82A62934B72}"/>
    <cellStyle name="Normal 2 4 5 2 3 6" xfId="2481" xr:uid="{00000000-0005-0000-0000-000070100000}"/>
    <cellStyle name="Normal 2 4 5 2 3 6 2" xfId="6765" xr:uid="{00000000-0005-0000-0000-000071100000}"/>
    <cellStyle name="Normal 2 4 5 2 3 6 2 2" xfId="15207" xr:uid="{64558A0F-2DE4-495E-AAF3-9D51351FBA4F}"/>
    <cellStyle name="Normal 2 4 5 2 3 6 3" xfId="10989" xr:uid="{94D1B3B7-EB82-4257-B48F-7A69FA6D5C9C}"/>
    <cellStyle name="Normal 2 4 5 2 3 7" xfId="4699" xr:uid="{00000000-0005-0000-0000-000072100000}"/>
    <cellStyle name="Normal 2 4 5 2 3 7 2" xfId="13141" xr:uid="{BAED66E7-8FD6-4556-9A81-AD0D371D41BC}"/>
    <cellStyle name="Normal 2 4 5 2 3 8" xfId="8923" xr:uid="{C41951D1-BE94-4D49-B338-869F5C0F9D42}"/>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BDA1C803-962F-44FB-8296-7B5637E2883D}"/>
    <cellStyle name="Normal 2 4 5 2 4 2 3" xfId="11479" xr:uid="{8843FD4F-3320-4433-9E66-DAAF668B00D1}"/>
    <cellStyle name="Normal 2 4 5 2 4 3" xfId="5110" xr:uid="{00000000-0005-0000-0000-000076100000}"/>
    <cellStyle name="Normal 2 4 5 2 4 3 2" xfId="13552" xr:uid="{AAFFF836-8221-46F4-96F5-528E11EE2070}"/>
    <cellStyle name="Normal 2 4 5 2 4 4" xfId="9334" xr:uid="{C4627653-55AB-4583-9E0A-CB2484E69501}"/>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9B9B5318-3402-4B78-B9B2-D2C9B18E5E27}"/>
    <cellStyle name="Normal 2 4 5 2 5 2 3" xfId="11892" xr:uid="{224359EE-63ED-4D59-A241-BE23CE1DB207}"/>
    <cellStyle name="Normal 2 4 5 2 5 3" xfId="5523" xr:uid="{00000000-0005-0000-0000-00007A100000}"/>
    <cellStyle name="Normal 2 4 5 2 5 3 2" xfId="13965" xr:uid="{42B018FF-F4A9-47F4-B82D-10846F794215}"/>
    <cellStyle name="Normal 2 4 5 2 5 4" xfId="9747" xr:uid="{A0ECE886-8DDC-4D5D-9345-6EDCAFE29972}"/>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614E07E5-1E2B-4149-A3BA-3AB6D7855D55}"/>
    <cellStyle name="Normal 2 4 5 2 6 2 3" xfId="12305" xr:uid="{9367BE55-65A7-474A-B405-66B1EF0F69D6}"/>
    <cellStyle name="Normal 2 4 5 2 6 3" xfId="5936" xr:uid="{00000000-0005-0000-0000-00007E100000}"/>
    <cellStyle name="Normal 2 4 5 2 6 3 2" xfId="14378" xr:uid="{FD41C860-9BD8-400F-88A5-1945D882B940}"/>
    <cellStyle name="Normal 2 4 5 2 6 4" xfId="10160" xr:uid="{7C1C2739-23AE-4CAE-B67D-58CFBE917F01}"/>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FF4E3C50-C64B-4E23-A07D-07ACD474D799}"/>
    <cellStyle name="Normal 2 4 5 2 7 2 3" xfId="12718" xr:uid="{8EF618E9-8EE2-4A55-9308-A1BD40BCF5A3}"/>
    <cellStyle name="Normal 2 4 5 2 7 3" xfId="6349" xr:uid="{00000000-0005-0000-0000-000082100000}"/>
    <cellStyle name="Normal 2 4 5 2 7 3 2" xfId="14791" xr:uid="{1A914D00-27A1-48C7-81E8-8D97B41C6F13}"/>
    <cellStyle name="Normal 2 4 5 2 7 4" xfId="10573" xr:uid="{7A5A7EED-8294-4488-8C13-BAFB8A6205CF}"/>
    <cellStyle name="Normal 2 4 5 2 8" xfId="2478" xr:uid="{00000000-0005-0000-0000-000083100000}"/>
    <cellStyle name="Normal 2 4 5 2 8 2" xfId="6762" xr:uid="{00000000-0005-0000-0000-000084100000}"/>
    <cellStyle name="Normal 2 4 5 2 8 2 2" xfId="15204" xr:uid="{F59E63F2-C714-4B19-A386-48C09516824B}"/>
    <cellStyle name="Normal 2 4 5 2 8 3" xfId="10986" xr:uid="{2F9F706C-2317-4423-BFE0-CF3016D3BBDA}"/>
    <cellStyle name="Normal 2 4 5 2 9" xfId="4696" xr:uid="{00000000-0005-0000-0000-000085100000}"/>
    <cellStyle name="Normal 2 4 5 2 9 2" xfId="13138" xr:uid="{D512DEB3-70A3-436E-867A-E477A1BFDD14}"/>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066FD431-A4D8-4393-BC19-9F0C141DA5F7}"/>
    <cellStyle name="Normal 2 4 5 3 2 2 2 3" xfId="11484" xr:uid="{B74BF7BB-CE15-499D-B651-4CC9BFC21857}"/>
    <cellStyle name="Normal 2 4 5 3 2 2 3" xfId="5115" xr:uid="{00000000-0005-0000-0000-00008B100000}"/>
    <cellStyle name="Normal 2 4 5 3 2 2 3 2" xfId="13557" xr:uid="{E3048390-ED63-477F-9936-7B00A7BEB764}"/>
    <cellStyle name="Normal 2 4 5 3 2 2 4" xfId="9339" xr:uid="{B58621A2-A614-4114-B70E-C1F56617E70C}"/>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6FC6071C-29B1-4EC5-98D1-D77C27FF77FB}"/>
    <cellStyle name="Normal 2 4 5 3 2 3 2 3" xfId="11897" xr:uid="{03DAC31B-5117-4C73-9F8F-2DCD14988490}"/>
    <cellStyle name="Normal 2 4 5 3 2 3 3" xfId="5528" xr:uid="{00000000-0005-0000-0000-00008F100000}"/>
    <cellStyle name="Normal 2 4 5 3 2 3 3 2" xfId="13970" xr:uid="{EE4B3E24-95B4-42D2-9D56-A67F7D223DED}"/>
    <cellStyle name="Normal 2 4 5 3 2 3 4" xfId="9752" xr:uid="{B5EEBA58-6097-4E73-BC87-751BEE7DE8FF}"/>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34FF0C7A-C26B-4592-A28F-E0B655B0B493}"/>
    <cellStyle name="Normal 2 4 5 3 2 4 2 3" xfId="12310" xr:uid="{AEBF6A54-8AF7-4281-9D7E-FC182869E4D1}"/>
    <cellStyle name="Normal 2 4 5 3 2 4 3" xfId="5941" xr:uid="{00000000-0005-0000-0000-000093100000}"/>
    <cellStyle name="Normal 2 4 5 3 2 4 3 2" xfId="14383" xr:uid="{16E12EB1-46A9-481D-95D2-967EDC3B2649}"/>
    <cellStyle name="Normal 2 4 5 3 2 4 4" xfId="10165" xr:uid="{28DCDEE7-8DAF-48A2-8C5A-960F4CE9D263}"/>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99D2E866-262B-4599-9994-D26C2FE51060}"/>
    <cellStyle name="Normal 2 4 5 3 2 5 2 3" xfId="12723" xr:uid="{4F98758A-88C6-47B4-AB14-CC0CCAC8B3AE}"/>
    <cellStyle name="Normal 2 4 5 3 2 5 3" xfId="6354" xr:uid="{00000000-0005-0000-0000-000097100000}"/>
    <cellStyle name="Normal 2 4 5 3 2 5 3 2" xfId="14796" xr:uid="{CCEE4D00-2203-401B-8765-71917B5DB926}"/>
    <cellStyle name="Normal 2 4 5 3 2 5 4" xfId="10578" xr:uid="{A42AB33E-6569-4803-9D25-65F100C5CAAF}"/>
    <cellStyle name="Normal 2 4 5 3 2 6" xfId="2483" xr:uid="{00000000-0005-0000-0000-000098100000}"/>
    <cellStyle name="Normal 2 4 5 3 2 6 2" xfId="6767" xr:uid="{00000000-0005-0000-0000-000099100000}"/>
    <cellStyle name="Normal 2 4 5 3 2 6 2 2" xfId="15209" xr:uid="{8C5F99E9-9ABF-4BB1-8FB9-EECA696310B2}"/>
    <cellStyle name="Normal 2 4 5 3 2 6 3" xfId="10991" xr:uid="{D45EC11B-11A7-4A1E-BBFE-84A38B91FF3F}"/>
    <cellStyle name="Normal 2 4 5 3 2 7" xfId="4701" xr:uid="{00000000-0005-0000-0000-00009A100000}"/>
    <cellStyle name="Normal 2 4 5 3 2 7 2" xfId="13143" xr:uid="{B1B08143-779C-4AB9-B8F9-67470B1FA9B8}"/>
    <cellStyle name="Normal 2 4 5 3 2 8" xfId="8925" xr:uid="{267CFADC-CD27-4FD4-AC79-C918FC1F84ED}"/>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C2D5B34F-6795-4959-94E0-FE65F590A74A}"/>
    <cellStyle name="Normal 2 4 5 3 3 2 3" xfId="11483" xr:uid="{791BB459-4C4C-402D-8144-F675D892F23D}"/>
    <cellStyle name="Normal 2 4 5 3 3 3" xfId="5114" xr:uid="{00000000-0005-0000-0000-00009E100000}"/>
    <cellStyle name="Normal 2 4 5 3 3 3 2" xfId="13556" xr:uid="{5099083B-F7A6-4C7D-A6F6-1E88A0778EC5}"/>
    <cellStyle name="Normal 2 4 5 3 3 4" xfId="9338" xr:uid="{A7337F12-D131-4F16-9EE8-6B664D5CB530}"/>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47CE0440-83A4-47EC-9821-532F7A028602}"/>
    <cellStyle name="Normal 2 4 5 3 4 2 3" xfId="11896" xr:uid="{D038F2D3-4A71-4D9B-9AF3-E0ADB95DB2C2}"/>
    <cellStyle name="Normal 2 4 5 3 4 3" xfId="5527" xr:uid="{00000000-0005-0000-0000-0000A2100000}"/>
    <cellStyle name="Normal 2 4 5 3 4 3 2" xfId="13969" xr:uid="{F7B8B3DC-0103-43D0-ADAE-15103CF2D2D7}"/>
    <cellStyle name="Normal 2 4 5 3 4 4" xfId="9751" xr:uid="{3E29A876-DCCA-4AF6-B62E-B1B634FE56D6}"/>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E18F4A9F-7E15-4D40-A366-5CD22D500DDF}"/>
    <cellStyle name="Normal 2 4 5 3 5 2 3" xfId="12309" xr:uid="{52642D35-125E-4882-98AC-FA38DADEFCAA}"/>
    <cellStyle name="Normal 2 4 5 3 5 3" xfId="5940" xr:uid="{00000000-0005-0000-0000-0000A6100000}"/>
    <cellStyle name="Normal 2 4 5 3 5 3 2" xfId="14382" xr:uid="{56F0070E-91E2-47F5-A4DD-1A5A35C64068}"/>
    <cellStyle name="Normal 2 4 5 3 5 4" xfId="10164" xr:uid="{0897FB3D-BC35-45E8-AD58-0529691F8FE2}"/>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CA427F13-7BB6-4548-9505-6F27AF709A3E}"/>
    <cellStyle name="Normal 2 4 5 3 6 2 3" xfId="12722" xr:uid="{BB9EF276-79C1-477B-8D06-85C9CB0F93D1}"/>
    <cellStyle name="Normal 2 4 5 3 6 3" xfId="6353" xr:uid="{00000000-0005-0000-0000-0000AA100000}"/>
    <cellStyle name="Normal 2 4 5 3 6 3 2" xfId="14795" xr:uid="{B0C4E5E7-A121-4AA8-A857-D99F62E58752}"/>
    <cellStyle name="Normal 2 4 5 3 6 4" xfId="10577" xr:uid="{F538DD03-8170-41CB-9BBA-36D0E78DE2FE}"/>
    <cellStyle name="Normal 2 4 5 3 7" xfId="2482" xr:uid="{00000000-0005-0000-0000-0000AB100000}"/>
    <cellStyle name="Normal 2 4 5 3 7 2" xfId="6766" xr:uid="{00000000-0005-0000-0000-0000AC100000}"/>
    <cellStyle name="Normal 2 4 5 3 7 2 2" xfId="15208" xr:uid="{3E02352D-2186-468A-A4AA-06D876B49041}"/>
    <cellStyle name="Normal 2 4 5 3 7 3" xfId="10990" xr:uid="{0704F41B-ADC7-48ED-B01C-E198A83E233C}"/>
    <cellStyle name="Normal 2 4 5 3 8" xfId="4700" xr:uid="{00000000-0005-0000-0000-0000AD100000}"/>
    <cellStyle name="Normal 2 4 5 3 8 2" xfId="13142" xr:uid="{74D0F9EB-4727-4CCD-88B2-3B8E61BF22E5}"/>
    <cellStyle name="Normal 2 4 5 3 9" xfId="8924" xr:uid="{27874CC6-1460-48C0-A762-DD2A64283042}"/>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97769C56-F92D-43B6-8091-D1445276D682}"/>
    <cellStyle name="Normal 2 4 5 4 2 2 3" xfId="11485" xr:uid="{5948CDE1-0690-46ED-8D0A-186C0978A772}"/>
    <cellStyle name="Normal 2 4 5 4 2 3" xfId="5116" xr:uid="{00000000-0005-0000-0000-0000B2100000}"/>
    <cellStyle name="Normal 2 4 5 4 2 3 2" xfId="13558" xr:uid="{D7480EB4-053A-4F6C-96D3-7579E28AEB6E}"/>
    <cellStyle name="Normal 2 4 5 4 2 4" xfId="9340" xr:uid="{F4F28F7F-952C-4FDE-942E-2EC1E1162C26}"/>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AA5944BA-EC02-429C-8B87-3A1EBE5A4BEE}"/>
    <cellStyle name="Normal 2 4 5 4 3 2 3" xfId="11898" xr:uid="{1C277472-B16F-488D-9B92-DFA680B06AAE}"/>
    <cellStyle name="Normal 2 4 5 4 3 3" xfId="5529" xr:uid="{00000000-0005-0000-0000-0000B6100000}"/>
    <cellStyle name="Normal 2 4 5 4 3 3 2" xfId="13971" xr:uid="{88DD91AA-5494-403B-8D30-E908E9E5C090}"/>
    <cellStyle name="Normal 2 4 5 4 3 4" xfId="9753" xr:uid="{C70249A3-A50B-4FBB-A01D-2E5712FD6F68}"/>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8FEBDEA0-C72F-4247-AD98-F0E83703601C}"/>
    <cellStyle name="Normal 2 4 5 4 4 2 3" xfId="12311" xr:uid="{DF7AC45F-CD5E-41B9-8A8F-8937BF9CE470}"/>
    <cellStyle name="Normal 2 4 5 4 4 3" xfId="5942" xr:uid="{00000000-0005-0000-0000-0000BA100000}"/>
    <cellStyle name="Normal 2 4 5 4 4 3 2" xfId="14384" xr:uid="{1E26738A-220F-4AE7-A6E0-885A1212E02F}"/>
    <cellStyle name="Normal 2 4 5 4 4 4" xfId="10166" xr:uid="{2ED0D9EE-52A4-44BC-8987-9BED16A6AC14}"/>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AF01F33E-38EC-409A-A5D4-FF9048D02F8E}"/>
    <cellStyle name="Normal 2 4 5 4 5 2 3" xfId="12724" xr:uid="{3104A4E7-022C-4572-8EEE-310E9AF3B270}"/>
    <cellStyle name="Normal 2 4 5 4 5 3" xfId="6355" xr:uid="{00000000-0005-0000-0000-0000BE100000}"/>
    <cellStyle name="Normal 2 4 5 4 5 3 2" xfId="14797" xr:uid="{21BBDC1D-026C-4C47-BF3D-F71EF5A07120}"/>
    <cellStyle name="Normal 2 4 5 4 5 4" xfId="10579" xr:uid="{492A766E-CA81-4227-A52B-073B926E9A3C}"/>
    <cellStyle name="Normal 2 4 5 4 6" xfId="2484" xr:uid="{00000000-0005-0000-0000-0000BF100000}"/>
    <cellStyle name="Normal 2 4 5 4 6 2" xfId="6768" xr:uid="{00000000-0005-0000-0000-0000C0100000}"/>
    <cellStyle name="Normal 2 4 5 4 6 2 2" xfId="15210" xr:uid="{FDB66ABD-3446-46B9-85BF-37A1960CE0BC}"/>
    <cellStyle name="Normal 2 4 5 4 6 3" xfId="10992" xr:uid="{32CE93A4-9E96-4106-9F97-34B0964AA84D}"/>
    <cellStyle name="Normal 2 4 5 4 7" xfId="4702" xr:uid="{00000000-0005-0000-0000-0000C1100000}"/>
    <cellStyle name="Normal 2 4 5 4 7 2" xfId="13144" xr:uid="{A63EB196-8BC5-48A8-9D04-A371D9C2E45C}"/>
    <cellStyle name="Normal 2 4 5 4 8" xfId="8926" xr:uid="{21716090-957D-4194-B01A-5DBAF0DE2BF5}"/>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BF0340AA-A360-422D-B5C1-476717E991BC}"/>
    <cellStyle name="Normal 2 4 5 5 2 3" xfId="11478" xr:uid="{330531CF-3680-401C-BE35-96A669DFFFD5}"/>
    <cellStyle name="Normal 2 4 5 5 3" xfId="5109" xr:uid="{00000000-0005-0000-0000-0000C5100000}"/>
    <cellStyle name="Normal 2 4 5 5 3 2" xfId="13551" xr:uid="{C6F5F7B4-EDCE-4D1F-99B3-B22210A91FD5}"/>
    <cellStyle name="Normal 2 4 5 5 4" xfId="9333" xr:uid="{CF6EB499-30A2-4EC8-9E51-62B3B6560ED9}"/>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79C85652-415F-4AFE-8BB4-BD6FFF8330BD}"/>
    <cellStyle name="Normal 2 4 5 6 2 3" xfId="11891" xr:uid="{315F94EE-23C8-4ADC-9251-D292C1E7B389}"/>
    <cellStyle name="Normal 2 4 5 6 3" xfId="5522" xr:uid="{00000000-0005-0000-0000-0000C9100000}"/>
    <cellStyle name="Normal 2 4 5 6 3 2" xfId="13964" xr:uid="{00462459-74CE-4055-AD88-91C20544800A}"/>
    <cellStyle name="Normal 2 4 5 6 4" xfId="9746" xr:uid="{3CD36B2F-260A-45BC-820A-7B9E27CA9837}"/>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07281ED3-3657-4838-8F17-BFF75FD9C0B1}"/>
    <cellStyle name="Normal 2 4 5 7 2 3" xfId="12304" xr:uid="{D8936D0A-EC60-48A9-959C-B1A90B3B4718}"/>
    <cellStyle name="Normal 2 4 5 7 3" xfId="5935" xr:uid="{00000000-0005-0000-0000-0000CD100000}"/>
    <cellStyle name="Normal 2 4 5 7 3 2" xfId="14377" xr:uid="{E3184F62-3FA5-40DA-973E-5D49C591BDA0}"/>
    <cellStyle name="Normal 2 4 5 7 4" xfId="10159" xr:uid="{A32CE924-BD05-4C94-A0AF-84B8F7005FFD}"/>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4EC742A2-8753-4601-BE6F-E476808A2E34}"/>
    <cellStyle name="Normal 2 4 5 8 2 3" xfId="12717" xr:uid="{21584329-A98C-432F-BF34-985E66DD71F7}"/>
    <cellStyle name="Normal 2 4 5 8 3" xfId="6348" xr:uid="{00000000-0005-0000-0000-0000D1100000}"/>
    <cellStyle name="Normal 2 4 5 8 3 2" xfId="14790" xr:uid="{CB2DC155-AE71-4BC0-9061-2E01F0BAA801}"/>
    <cellStyle name="Normal 2 4 5 8 4" xfId="10572" xr:uid="{3567DE3E-22B2-4768-A6DE-F9DE5A6E235D}"/>
    <cellStyle name="Normal 2 4 5 9" xfId="2477" xr:uid="{00000000-0005-0000-0000-0000D2100000}"/>
    <cellStyle name="Normal 2 4 5 9 2" xfId="6761" xr:uid="{00000000-0005-0000-0000-0000D3100000}"/>
    <cellStyle name="Normal 2 4 5 9 2 2" xfId="15203" xr:uid="{F7B70530-F16D-4317-A9A9-DC32B80328F2}"/>
    <cellStyle name="Normal 2 4 5 9 3" xfId="10985" xr:uid="{D096D4F6-0238-43A0-B30E-3184A3C5F82F}"/>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BEC6E091-3117-4EEA-BD91-0F00DC04492D}"/>
    <cellStyle name="Normal 2 4 7 2 2 2 3" xfId="11487" xr:uid="{7FCC7164-ABCC-4C35-88FE-C447FF5A49E3}"/>
    <cellStyle name="Normal 2 4 7 2 2 3" xfId="5118" xr:uid="{00000000-0005-0000-0000-0000DA100000}"/>
    <cellStyle name="Normal 2 4 7 2 2 3 2" xfId="13560" xr:uid="{A0793A1E-AFC8-4312-B2C0-9ABC3B1B9BA3}"/>
    <cellStyle name="Normal 2 4 7 2 2 4" xfId="9342" xr:uid="{2C576949-7B83-482E-BE01-FD8A56C3FAED}"/>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4B57EF51-60EE-4C23-815C-A301275D5FB2}"/>
    <cellStyle name="Normal 2 4 7 2 3 2 3" xfId="11900" xr:uid="{E8E7D5D7-91F6-4124-A0E1-9B329D93B97A}"/>
    <cellStyle name="Normal 2 4 7 2 3 3" xfId="5531" xr:uid="{00000000-0005-0000-0000-0000DE100000}"/>
    <cellStyle name="Normal 2 4 7 2 3 3 2" xfId="13973" xr:uid="{3FB0AA44-70B8-49FD-9817-5D48F90CC38E}"/>
    <cellStyle name="Normal 2 4 7 2 3 4" xfId="9755" xr:uid="{DFF8E24D-E289-4878-85B3-FB7C422A714A}"/>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51FD644B-F3C0-4E2C-B557-6E599E2211F1}"/>
    <cellStyle name="Normal 2 4 7 2 4 2 3" xfId="12313" xr:uid="{8BE053F1-B923-42E1-9C1E-B5C4C8B351BC}"/>
    <cellStyle name="Normal 2 4 7 2 4 3" xfId="5944" xr:uid="{00000000-0005-0000-0000-0000E2100000}"/>
    <cellStyle name="Normal 2 4 7 2 4 3 2" xfId="14386" xr:uid="{1295466D-BF75-425E-AB54-4DB901EF9AAF}"/>
    <cellStyle name="Normal 2 4 7 2 4 4" xfId="10168" xr:uid="{85B2F3E3-D3ED-401F-A8B0-AA606E7D4973}"/>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7F71B97C-286E-499D-BCA1-6040F68CD6E8}"/>
    <cellStyle name="Normal 2 4 7 2 5 2 3" xfId="12726" xr:uid="{0704D4D8-69D6-4E6D-9269-8B451E784A3B}"/>
    <cellStyle name="Normal 2 4 7 2 5 3" xfId="6357" xr:uid="{00000000-0005-0000-0000-0000E6100000}"/>
    <cellStyle name="Normal 2 4 7 2 5 3 2" xfId="14799" xr:uid="{02478B67-2BFD-4928-8EA1-EB982312A8B6}"/>
    <cellStyle name="Normal 2 4 7 2 5 4" xfId="10581" xr:uid="{6B665483-B9F0-4EFC-BE51-E7C6FBF8B0DE}"/>
    <cellStyle name="Normal 2 4 7 2 6" xfId="2486" xr:uid="{00000000-0005-0000-0000-0000E7100000}"/>
    <cellStyle name="Normal 2 4 7 2 6 2" xfId="6770" xr:uid="{00000000-0005-0000-0000-0000E8100000}"/>
    <cellStyle name="Normal 2 4 7 2 6 2 2" xfId="15212" xr:uid="{2B3B247A-2F04-4D51-9B54-7FE593966F47}"/>
    <cellStyle name="Normal 2 4 7 2 6 3" xfId="10994" xr:uid="{2115F80D-0BE4-4C77-9637-26AB653AFD0F}"/>
    <cellStyle name="Normal 2 4 7 2 7" xfId="4704" xr:uid="{00000000-0005-0000-0000-0000E9100000}"/>
    <cellStyle name="Normal 2 4 7 2 7 2" xfId="13146" xr:uid="{F10CB3CD-5DDC-4034-A841-62CB369055F1}"/>
    <cellStyle name="Normal 2 4 7 2 8" xfId="8928" xr:uid="{81FE3D1C-9E5E-4768-8725-F45EA474978F}"/>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12433BF8-157B-42D3-B65B-EFEAC622D8C3}"/>
    <cellStyle name="Normal 2 4 7 3 2 3" xfId="11486" xr:uid="{F37AFD84-97BE-48F9-B688-8949EEBB5D4C}"/>
    <cellStyle name="Normal 2 4 7 3 3" xfId="5117" xr:uid="{00000000-0005-0000-0000-0000ED100000}"/>
    <cellStyle name="Normal 2 4 7 3 3 2" xfId="13559" xr:uid="{7352579E-94C7-40E3-B91B-839568B75522}"/>
    <cellStyle name="Normal 2 4 7 3 4" xfId="9341" xr:uid="{4F78A124-5572-4346-B825-C4E5F913636D}"/>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7DCEC8C4-5108-43CF-AC19-DE6B9008B24F}"/>
    <cellStyle name="Normal 2 4 7 4 2 3" xfId="11899" xr:uid="{A0568F3C-B479-4B96-81E5-190EA4AFBC76}"/>
    <cellStyle name="Normal 2 4 7 4 3" xfId="5530" xr:uid="{00000000-0005-0000-0000-0000F1100000}"/>
    <cellStyle name="Normal 2 4 7 4 3 2" xfId="13972" xr:uid="{19F2CE05-A253-4657-9426-E11C5C6EEAA4}"/>
    <cellStyle name="Normal 2 4 7 4 4" xfId="9754" xr:uid="{B65A5363-87AB-4CCD-BD9A-C7CE64515676}"/>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617D0035-2CE5-419A-B47B-687E896E7160}"/>
    <cellStyle name="Normal 2 4 7 5 2 3" xfId="12312" xr:uid="{DACF3E77-CA3B-4FE0-BAD3-A1802BDB297E}"/>
    <cellStyle name="Normal 2 4 7 5 3" xfId="5943" xr:uid="{00000000-0005-0000-0000-0000F5100000}"/>
    <cellStyle name="Normal 2 4 7 5 3 2" xfId="14385" xr:uid="{D3614CC9-4F80-4806-885E-8DDE2159C01C}"/>
    <cellStyle name="Normal 2 4 7 5 4" xfId="10167" xr:uid="{F22B3F2F-5585-471C-9618-A2EA3933DBAE}"/>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F29D5F1E-3E62-43A6-AC56-1B4BEDAEFE4A}"/>
    <cellStyle name="Normal 2 4 7 6 2 3" xfId="12725" xr:uid="{34959632-F828-40DC-84FA-388F5B86FD23}"/>
    <cellStyle name="Normal 2 4 7 6 3" xfId="6356" xr:uid="{00000000-0005-0000-0000-0000F9100000}"/>
    <cellStyle name="Normal 2 4 7 6 3 2" xfId="14798" xr:uid="{22031993-068E-4AA7-BCEB-1D42FA9A2F5D}"/>
    <cellStyle name="Normal 2 4 7 6 4" xfId="10580" xr:uid="{BA13E17A-E788-4F2F-BC05-BABB4FF13E6C}"/>
    <cellStyle name="Normal 2 4 7 7" xfId="2485" xr:uid="{00000000-0005-0000-0000-0000FA100000}"/>
    <cellStyle name="Normal 2 4 7 7 2" xfId="6769" xr:uid="{00000000-0005-0000-0000-0000FB100000}"/>
    <cellStyle name="Normal 2 4 7 7 2 2" xfId="15211" xr:uid="{F9975A71-D8C3-45F7-9206-632CF76877C3}"/>
    <cellStyle name="Normal 2 4 7 7 3" xfId="10993" xr:uid="{A28DF503-859B-4F7C-83E0-72BEFCE62947}"/>
    <cellStyle name="Normal 2 4 7 8" xfId="4703" xr:uid="{00000000-0005-0000-0000-0000FC100000}"/>
    <cellStyle name="Normal 2 4 7 8 2" xfId="13145" xr:uid="{B390A338-900A-481E-8D45-C7F561B3F3FA}"/>
    <cellStyle name="Normal 2 4 7 9" xfId="8927" xr:uid="{ADB452F2-1A41-4FB0-AFCD-CA2404CE356B}"/>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FC16C7FC-88B7-4CA1-8139-595E09BCD8D8}"/>
    <cellStyle name="Normal 2 4 8 2 2 3" xfId="11488" xr:uid="{853B0E81-BADE-4776-900A-427C7E94B65C}"/>
    <cellStyle name="Normal 2 4 8 2 3" xfId="5119" xr:uid="{00000000-0005-0000-0000-000001110000}"/>
    <cellStyle name="Normal 2 4 8 2 3 2" xfId="13561" xr:uid="{96FB95BF-0DC2-4E58-A602-C0A0BAB0A297}"/>
    <cellStyle name="Normal 2 4 8 2 4" xfId="9343" xr:uid="{1A7DF184-6A33-4899-895B-A79D8065F67F}"/>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DF87C02F-7BC9-40DC-B073-BEF225EC33E0}"/>
    <cellStyle name="Normal 2 4 8 3 2 3" xfId="11901" xr:uid="{F44153AF-D14D-4404-94DC-7F370BA3BFE3}"/>
    <cellStyle name="Normal 2 4 8 3 3" xfId="5532" xr:uid="{00000000-0005-0000-0000-000005110000}"/>
    <cellStyle name="Normal 2 4 8 3 3 2" xfId="13974" xr:uid="{EB03EC41-6A83-4DA5-80BE-97C0F73D762A}"/>
    <cellStyle name="Normal 2 4 8 3 4" xfId="9756" xr:uid="{E26B2DA0-33E4-41BA-ADDE-C10660928C61}"/>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997931BD-5832-42A1-B1C1-99C36B355124}"/>
    <cellStyle name="Normal 2 4 8 4 2 3" xfId="12314" xr:uid="{9C7F6D97-7298-4170-9378-D6E8EB15C890}"/>
    <cellStyle name="Normal 2 4 8 4 3" xfId="5945" xr:uid="{00000000-0005-0000-0000-000009110000}"/>
    <cellStyle name="Normal 2 4 8 4 3 2" xfId="14387" xr:uid="{3805A3FA-671D-4636-816F-B6FF3DFEB1D4}"/>
    <cellStyle name="Normal 2 4 8 4 4" xfId="10169" xr:uid="{84F4CB29-B4DD-4F49-A917-90DEDA2112DA}"/>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59420D7A-06CC-41B4-B32C-75351205E9AB}"/>
    <cellStyle name="Normal 2 4 8 5 2 3" xfId="12727" xr:uid="{87BC0453-B383-47BE-90F6-DC7E0F460634}"/>
    <cellStyle name="Normal 2 4 8 5 3" xfId="6358" xr:uid="{00000000-0005-0000-0000-00000D110000}"/>
    <cellStyle name="Normal 2 4 8 5 3 2" xfId="14800" xr:uid="{1067C631-FF08-4C4B-8D2A-2254096FDB58}"/>
    <cellStyle name="Normal 2 4 8 5 4" xfId="10582" xr:uid="{42A6299C-1BF5-4DEC-BDC4-A6EF86CB80C4}"/>
    <cellStyle name="Normal 2 4 8 6" xfId="2487" xr:uid="{00000000-0005-0000-0000-00000E110000}"/>
    <cellStyle name="Normal 2 4 8 6 2" xfId="6771" xr:uid="{00000000-0005-0000-0000-00000F110000}"/>
    <cellStyle name="Normal 2 4 8 6 2 2" xfId="15213" xr:uid="{82EE0DC1-C518-43D8-A9E3-30474860A2F9}"/>
    <cellStyle name="Normal 2 4 8 6 3" xfId="10995" xr:uid="{2815874A-B674-42EE-B506-ED0E9AA45579}"/>
    <cellStyle name="Normal 2 4 8 7" xfId="4705" xr:uid="{00000000-0005-0000-0000-000010110000}"/>
    <cellStyle name="Normal 2 4 8 7 2" xfId="13147" xr:uid="{C3BAE758-2DA4-43F3-87A5-F5A0D5BDDAB2}"/>
    <cellStyle name="Normal 2 4 8 8" xfId="8929" xr:uid="{322B526D-E16A-45FD-8969-0340D61E20FB}"/>
    <cellStyle name="Normal 2 5" xfId="315" xr:uid="{00000000-0005-0000-0000-000011110000}"/>
    <cellStyle name="Normal 2 5 10" xfId="4706" xr:uid="{00000000-0005-0000-0000-000012110000}"/>
    <cellStyle name="Normal 2 5 10 2" xfId="13148" xr:uid="{5B17E399-AD7C-4150-A407-8881D2D9623D}"/>
    <cellStyle name="Normal 2 5 11" xfId="8930" xr:uid="{E304F334-DD14-4F3D-9028-F72AF8CB01F6}"/>
    <cellStyle name="Normal 2 5 2" xfId="316" xr:uid="{00000000-0005-0000-0000-000013110000}"/>
    <cellStyle name="Normal 2 5 3" xfId="317" xr:uid="{00000000-0005-0000-0000-000014110000}"/>
    <cellStyle name="Normal 2 5 4" xfId="318" xr:uid="{00000000-0005-0000-0000-000015110000}"/>
    <cellStyle name="Normal 2 5 4 10" xfId="8931" xr:uid="{E7859F84-13C3-4886-9295-F1B97AC395A6}"/>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B3B210BB-DDDF-439D-AA12-14D25AF72826}"/>
    <cellStyle name="Normal 2 5 4 2 2 2 2 3" xfId="11492" xr:uid="{1409C210-7AFA-43A5-B987-487932CBF1E8}"/>
    <cellStyle name="Normal 2 5 4 2 2 2 3" xfId="5123" xr:uid="{00000000-0005-0000-0000-00001B110000}"/>
    <cellStyle name="Normal 2 5 4 2 2 2 3 2" xfId="13565" xr:uid="{62B62059-395D-4CE2-8654-E4C79373C1B4}"/>
    <cellStyle name="Normal 2 5 4 2 2 2 4" xfId="9347" xr:uid="{CA0F6CB0-B396-44BF-966A-A519285AEAFD}"/>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720C012E-18CE-4C95-ADDA-99BD4BBF8B01}"/>
    <cellStyle name="Normal 2 5 4 2 2 3 2 3" xfId="11905" xr:uid="{83B7CFA1-64B7-4298-9621-6AACC6C4B3A0}"/>
    <cellStyle name="Normal 2 5 4 2 2 3 3" xfId="5536" xr:uid="{00000000-0005-0000-0000-00001F110000}"/>
    <cellStyle name="Normal 2 5 4 2 2 3 3 2" xfId="13978" xr:uid="{D52CD82C-27A0-449F-A675-014177650A70}"/>
    <cellStyle name="Normal 2 5 4 2 2 3 4" xfId="9760" xr:uid="{9DBAFA54-4AF6-426B-B785-C0C4957D4CA7}"/>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967F5262-A7E9-4A29-B4FC-22F68CAC0F19}"/>
    <cellStyle name="Normal 2 5 4 2 2 4 2 3" xfId="12318" xr:uid="{9E3F5960-D3C9-4295-BBE3-3B8E5F978A8B}"/>
    <cellStyle name="Normal 2 5 4 2 2 4 3" xfId="5949" xr:uid="{00000000-0005-0000-0000-000023110000}"/>
    <cellStyle name="Normal 2 5 4 2 2 4 3 2" xfId="14391" xr:uid="{25A6AC97-AADF-47D8-80F9-5820D3658477}"/>
    <cellStyle name="Normal 2 5 4 2 2 4 4" xfId="10173" xr:uid="{9B9EA8BE-BE13-4FB3-B1F5-0016DE6F477B}"/>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C0E71672-1A79-4E6D-960B-33D0FB3A18E8}"/>
    <cellStyle name="Normal 2 5 4 2 2 5 2 3" xfId="12731" xr:uid="{DB96CB66-FDE8-4958-9871-E275A262312F}"/>
    <cellStyle name="Normal 2 5 4 2 2 5 3" xfId="6362" xr:uid="{00000000-0005-0000-0000-000027110000}"/>
    <cellStyle name="Normal 2 5 4 2 2 5 3 2" xfId="14804" xr:uid="{C4FF9BC1-DA76-499D-B198-FDDC3D611638}"/>
    <cellStyle name="Normal 2 5 4 2 2 5 4" xfId="10586" xr:uid="{E3B27B58-4C88-4A8E-9DFF-19825A88BF20}"/>
    <cellStyle name="Normal 2 5 4 2 2 6" xfId="2491" xr:uid="{00000000-0005-0000-0000-000028110000}"/>
    <cellStyle name="Normal 2 5 4 2 2 6 2" xfId="6775" xr:uid="{00000000-0005-0000-0000-000029110000}"/>
    <cellStyle name="Normal 2 5 4 2 2 6 2 2" xfId="15217" xr:uid="{2D5433EC-8B00-4971-BE2A-C9B3F2986801}"/>
    <cellStyle name="Normal 2 5 4 2 2 6 3" xfId="10999" xr:uid="{0BD847F8-9B5B-4347-8746-80FDF30B980B}"/>
    <cellStyle name="Normal 2 5 4 2 2 7" xfId="4709" xr:uid="{00000000-0005-0000-0000-00002A110000}"/>
    <cellStyle name="Normal 2 5 4 2 2 7 2" xfId="13151" xr:uid="{3A3EA96E-4210-4B11-926E-E8280A5ED25C}"/>
    <cellStyle name="Normal 2 5 4 2 2 8" xfId="8933" xr:uid="{E3BF59E9-91F5-420B-A916-4792AF7F542F}"/>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B562C64B-D55C-4C49-B3D1-E43066C4E92A}"/>
    <cellStyle name="Normal 2 5 4 2 3 2 3" xfId="11491" xr:uid="{4BB6E1DF-32F1-43DF-BCCB-818DC996BAA7}"/>
    <cellStyle name="Normal 2 5 4 2 3 3" xfId="5122" xr:uid="{00000000-0005-0000-0000-00002E110000}"/>
    <cellStyle name="Normal 2 5 4 2 3 3 2" xfId="13564" xr:uid="{CFF4AA2B-AFA8-4964-8E82-49EFA993B6F1}"/>
    <cellStyle name="Normal 2 5 4 2 3 4" xfId="9346" xr:uid="{D8FFD553-2368-4B41-B394-5D6200BE2E16}"/>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D5AD3600-E532-4ED2-AE64-F51FC4666B33}"/>
    <cellStyle name="Normal 2 5 4 2 4 2 3" xfId="11904" xr:uid="{98880213-D0FD-44F9-AA62-5ABB76208ED3}"/>
    <cellStyle name="Normal 2 5 4 2 4 3" xfId="5535" xr:uid="{00000000-0005-0000-0000-000032110000}"/>
    <cellStyle name="Normal 2 5 4 2 4 3 2" xfId="13977" xr:uid="{AA0E1920-194E-473A-A11D-0549C40F74CE}"/>
    <cellStyle name="Normal 2 5 4 2 4 4" xfId="9759" xr:uid="{966382A9-88A2-4AE0-A7E2-FEA923A1B93C}"/>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323163DD-3108-4A55-BDE2-B2BD65763DD4}"/>
    <cellStyle name="Normal 2 5 4 2 5 2 3" xfId="12317" xr:uid="{4AC40D77-4AB4-47E3-9352-AF574312E800}"/>
    <cellStyle name="Normal 2 5 4 2 5 3" xfId="5948" xr:uid="{00000000-0005-0000-0000-000036110000}"/>
    <cellStyle name="Normal 2 5 4 2 5 3 2" xfId="14390" xr:uid="{F4E10735-C8AE-4E4B-9CBC-48490DC7F995}"/>
    <cellStyle name="Normal 2 5 4 2 5 4" xfId="10172" xr:uid="{96B63BAF-EBE3-428D-903E-0BC6CC15EFA2}"/>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AB3FB20A-F3EC-436C-B234-D12F8CF02D53}"/>
    <cellStyle name="Normal 2 5 4 2 6 2 3" xfId="12730" xr:uid="{DB0D8911-1CC9-4E57-B419-64AF1BD4B5F0}"/>
    <cellStyle name="Normal 2 5 4 2 6 3" xfId="6361" xr:uid="{00000000-0005-0000-0000-00003A110000}"/>
    <cellStyle name="Normal 2 5 4 2 6 3 2" xfId="14803" xr:uid="{7FB2F0A5-212B-4ECE-BE18-95EA2FA513F5}"/>
    <cellStyle name="Normal 2 5 4 2 6 4" xfId="10585" xr:uid="{D45A4A2A-3159-4D14-A5B1-F85CDF4003D8}"/>
    <cellStyle name="Normal 2 5 4 2 7" xfId="2490" xr:uid="{00000000-0005-0000-0000-00003B110000}"/>
    <cellStyle name="Normal 2 5 4 2 7 2" xfId="6774" xr:uid="{00000000-0005-0000-0000-00003C110000}"/>
    <cellStyle name="Normal 2 5 4 2 7 2 2" xfId="15216" xr:uid="{7DDE65D5-100C-4834-AD6D-F961E98CA529}"/>
    <cellStyle name="Normal 2 5 4 2 7 3" xfId="10998" xr:uid="{29E267BE-BF30-429D-9C58-0F7C885F3713}"/>
    <cellStyle name="Normal 2 5 4 2 8" xfId="4708" xr:uid="{00000000-0005-0000-0000-00003D110000}"/>
    <cellStyle name="Normal 2 5 4 2 8 2" xfId="13150" xr:uid="{0000923E-0298-4ED5-BCA2-2A3FF1668B81}"/>
    <cellStyle name="Normal 2 5 4 2 9" xfId="8932" xr:uid="{0077A32F-66FD-4A40-B255-0BBA84CD87BE}"/>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0F8B5727-F998-4352-9C95-823B604C4915}"/>
    <cellStyle name="Normal 2 5 4 3 2 2 3" xfId="11493" xr:uid="{158E8B38-AA95-4C71-9B99-4D25B30983FB}"/>
    <cellStyle name="Normal 2 5 4 3 2 3" xfId="5124" xr:uid="{00000000-0005-0000-0000-000042110000}"/>
    <cellStyle name="Normal 2 5 4 3 2 3 2" xfId="13566" xr:uid="{65FA1436-B616-4332-AB48-86B21C36E3CF}"/>
    <cellStyle name="Normal 2 5 4 3 2 4" xfId="9348" xr:uid="{23147677-C341-438B-8969-C9B32536717F}"/>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5AA59C3E-32CC-4B2B-8F7E-AD72FEDD8C53}"/>
    <cellStyle name="Normal 2 5 4 3 3 2 3" xfId="11906" xr:uid="{F59DA049-2F3C-4ED4-8A74-EA4C7307C088}"/>
    <cellStyle name="Normal 2 5 4 3 3 3" xfId="5537" xr:uid="{00000000-0005-0000-0000-000046110000}"/>
    <cellStyle name="Normal 2 5 4 3 3 3 2" xfId="13979" xr:uid="{D19C829E-6B1C-4E2D-B1F4-E81CC78986C8}"/>
    <cellStyle name="Normal 2 5 4 3 3 4" xfId="9761" xr:uid="{5B6593C4-AF0F-4EA0-8B58-005259E9C59E}"/>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FF53BD46-4962-49D7-941A-CA6473209CAE}"/>
    <cellStyle name="Normal 2 5 4 3 4 2 3" xfId="12319" xr:uid="{220FFF47-5504-422E-AFB4-E574154FF80D}"/>
    <cellStyle name="Normal 2 5 4 3 4 3" xfId="5950" xr:uid="{00000000-0005-0000-0000-00004A110000}"/>
    <cellStyle name="Normal 2 5 4 3 4 3 2" xfId="14392" xr:uid="{0DBBEDB6-BCA8-4773-8A32-87D514BEE330}"/>
    <cellStyle name="Normal 2 5 4 3 4 4" xfId="10174" xr:uid="{7ECA9A33-9716-4194-AC01-93A3A3563743}"/>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080DA4F0-B467-49B8-A6AC-9260BED3AD77}"/>
    <cellStyle name="Normal 2 5 4 3 5 2 3" xfId="12732" xr:uid="{27FE8278-5BF6-4B4A-A3BE-850C57E5A3D6}"/>
    <cellStyle name="Normal 2 5 4 3 5 3" xfId="6363" xr:uid="{00000000-0005-0000-0000-00004E110000}"/>
    <cellStyle name="Normal 2 5 4 3 5 3 2" xfId="14805" xr:uid="{2792CF67-367B-46BC-969E-63E6B5E01FA4}"/>
    <cellStyle name="Normal 2 5 4 3 5 4" xfId="10587" xr:uid="{357E48D0-E7A8-487C-BBE8-CCD6AB9B9E70}"/>
    <cellStyle name="Normal 2 5 4 3 6" xfId="2492" xr:uid="{00000000-0005-0000-0000-00004F110000}"/>
    <cellStyle name="Normal 2 5 4 3 6 2" xfId="6776" xr:uid="{00000000-0005-0000-0000-000050110000}"/>
    <cellStyle name="Normal 2 5 4 3 6 2 2" xfId="15218" xr:uid="{F2D3295C-5796-474D-A827-0F6CC6CB788A}"/>
    <cellStyle name="Normal 2 5 4 3 6 3" xfId="11000" xr:uid="{A78798B1-F87B-46AC-BC4C-02102A2C30DA}"/>
    <cellStyle name="Normal 2 5 4 3 7" xfId="4710" xr:uid="{00000000-0005-0000-0000-000051110000}"/>
    <cellStyle name="Normal 2 5 4 3 7 2" xfId="13152" xr:uid="{D5B151F0-772B-437B-8B32-7139B7415192}"/>
    <cellStyle name="Normal 2 5 4 3 8" xfId="8934" xr:uid="{148D69B0-8C7B-4114-9E68-F254C746DA64}"/>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9C60CB25-9623-4749-ACAA-DCE11D0BF07B}"/>
    <cellStyle name="Normal 2 5 4 4 2 3" xfId="11490" xr:uid="{C622053B-3838-45E9-9E03-AFEFEB517EBD}"/>
    <cellStyle name="Normal 2 5 4 4 3" xfId="5121" xr:uid="{00000000-0005-0000-0000-000055110000}"/>
    <cellStyle name="Normal 2 5 4 4 3 2" xfId="13563" xr:uid="{A8610850-0E78-4864-8116-9334EA7E225D}"/>
    <cellStyle name="Normal 2 5 4 4 4" xfId="9345" xr:uid="{BE1BA4A1-0BC0-4360-A37D-AED048BA972B}"/>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252819BA-3D1E-48F2-8A4C-5851B2CBAB5B}"/>
    <cellStyle name="Normal 2 5 4 5 2 3" xfId="11903" xr:uid="{27A7BCB8-D709-4097-B07E-2C2B81CA8304}"/>
    <cellStyle name="Normal 2 5 4 5 3" xfId="5534" xr:uid="{00000000-0005-0000-0000-000059110000}"/>
    <cellStyle name="Normal 2 5 4 5 3 2" xfId="13976" xr:uid="{C0207DDC-F537-4450-B030-00CFEC40EFD5}"/>
    <cellStyle name="Normal 2 5 4 5 4" xfId="9758" xr:uid="{508A37E2-E0A8-4488-A5EF-648F50DED6F2}"/>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957E7B73-159B-4591-801D-8B6405FA40F3}"/>
    <cellStyle name="Normal 2 5 4 6 2 3" xfId="12316" xr:uid="{35CAC731-4C72-4AC5-A24B-B398416171E1}"/>
    <cellStyle name="Normal 2 5 4 6 3" xfId="5947" xr:uid="{00000000-0005-0000-0000-00005D110000}"/>
    <cellStyle name="Normal 2 5 4 6 3 2" xfId="14389" xr:uid="{322D31EB-32F6-495D-81EE-5D7F51124F4C}"/>
    <cellStyle name="Normal 2 5 4 6 4" xfId="10171" xr:uid="{BE057523-4094-4D28-B9E8-56CD003182A9}"/>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F7B94964-80DA-4AA4-B3F2-7B2BEF5BAE2E}"/>
    <cellStyle name="Normal 2 5 4 7 2 3" xfId="12729" xr:uid="{5E7C477B-A34C-4AF6-9602-4017FC5A5A51}"/>
    <cellStyle name="Normal 2 5 4 7 3" xfId="6360" xr:uid="{00000000-0005-0000-0000-000061110000}"/>
    <cellStyle name="Normal 2 5 4 7 3 2" xfId="14802" xr:uid="{A72436EE-C7FC-43C8-92F5-2AAE535E8A90}"/>
    <cellStyle name="Normal 2 5 4 7 4" xfId="10584" xr:uid="{1980EC39-449E-4594-984B-E20B5DC62F82}"/>
    <cellStyle name="Normal 2 5 4 8" xfId="2489" xr:uid="{00000000-0005-0000-0000-000062110000}"/>
    <cellStyle name="Normal 2 5 4 8 2" xfId="6773" xr:uid="{00000000-0005-0000-0000-000063110000}"/>
    <cellStyle name="Normal 2 5 4 8 2 2" xfId="15215" xr:uid="{31CF6CD0-6475-4C3D-81D5-26AED4BDC275}"/>
    <cellStyle name="Normal 2 5 4 8 3" xfId="10997" xr:uid="{EF986D4C-2343-4516-9C56-B3E0B6D5F8FE}"/>
    <cellStyle name="Normal 2 5 4 9" xfId="4707" xr:uid="{00000000-0005-0000-0000-000064110000}"/>
    <cellStyle name="Normal 2 5 4 9 2" xfId="13149" xr:uid="{E522D0D7-809D-4005-BF57-D384F5753A63}"/>
    <cellStyle name="Normal 2 5 5" xfId="803" xr:uid="{00000000-0005-0000-0000-000065110000}"/>
    <cellStyle name="Normal 2 5 5 2" xfId="3042" xr:uid="{00000000-0005-0000-0000-000066110000}"/>
    <cellStyle name="Normal 2 5 5 2 2" xfId="7265" xr:uid="{00000000-0005-0000-0000-000067110000}"/>
    <cellStyle name="Normal 2 5 5 2 2 2" xfId="15707" xr:uid="{D9327884-F3D1-4A7A-860C-2C48520304B7}"/>
    <cellStyle name="Normal 2 5 5 2 3" xfId="11489" xr:uid="{973A2D80-C6F0-4533-B0E3-7B3F547FA39F}"/>
    <cellStyle name="Normal 2 5 5 3" xfId="5120" xr:uid="{00000000-0005-0000-0000-000068110000}"/>
    <cellStyle name="Normal 2 5 5 3 2" xfId="13562" xr:uid="{0032A921-4E8B-468A-B664-09300CECC8F4}"/>
    <cellStyle name="Normal 2 5 5 4" xfId="9344" xr:uid="{74ADE6A4-E044-4400-BA5D-3F3EF30118CE}"/>
    <cellStyle name="Normal 2 5 6" xfId="1225" xr:uid="{00000000-0005-0000-0000-000069110000}"/>
    <cellStyle name="Normal 2 5 6 2" xfId="3455" xr:uid="{00000000-0005-0000-0000-00006A110000}"/>
    <cellStyle name="Normal 2 5 6 2 2" xfId="7678" xr:uid="{00000000-0005-0000-0000-00006B110000}"/>
    <cellStyle name="Normal 2 5 6 2 2 2" xfId="16120" xr:uid="{289BF41A-EC09-4F0A-815A-1290323B6AE9}"/>
    <cellStyle name="Normal 2 5 6 2 3" xfId="11902" xr:uid="{492E8D8A-1104-4A66-84A2-F4329B264717}"/>
    <cellStyle name="Normal 2 5 6 3" xfId="5533" xr:uid="{00000000-0005-0000-0000-00006C110000}"/>
    <cellStyle name="Normal 2 5 6 3 2" xfId="13975" xr:uid="{0D324ECC-60C7-473D-A6EA-259D53728BF4}"/>
    <cellStyle name="Normal 2 5 6 4" xfId="9757" xr:uid="{7C875CCB-AC6B-4E7A-A3F6-4038C32C97EB}"/>
    <cellStyle name="Normal 2 5 7" xfId="1638" xr:uid="{00000000-0005-0000-0000-00006D110000}"/>
    <cellStyle name="Normal 2 5 7 2" xfId="3868" xr:uid="{00000000-0005-0000-0000-00006E110000}"/>
    <cellStyle name="Normal 2 5 7 2 2" xfId="8091" xr:uid="{00000000-0005-0000-0000-00006F110000}"/>
    <cellStyle name="Normal 2 5 7 2 2 2" xfId="16533" xr:uid="{45B820CE-625D-4744-B008-34825F1FAAF4}"/>
    <cellStyle name="Normal 2 5 7 2 3" xfId="12315" xr:uid="{4FCADA2C-9BDE-4473-9CFA-B7F27D4C7ACA}"/>
    <cellStyle name="Normal 2 5 7 3" xfId="5946" xr:uid="{00000000-0005-0000-0000-000070110000}"/>
    <cellStyle name="Normal 2 5 7 3 2" xfId="14388" xr:uid="{8D0D65BC-9CE6-415C-BE11-F8537D2B90D7}"/>
    <cellStyle name="Normal 2 5 7 4" xfId="10170" xr:uid="{D0E56B11-AFB8-496D-99FE-8F9F5E9F911C}"/>
    <cellStyle name="Normal 2 5 8" xfId="2052" xr:uid="{00000000-0005-0000-0000-000071110000}"/>
    <cellStyle name="Normal 2 5 8 2" xfId="4281" xr:uid="{00000000-0005-0000-0000-000072110000}"/>
    <cellStyle name="Normal 2 5 8 2 2" xfId="8504" xr:uid="{00000000-0005-0000-0000-000073110000}"/>
    <cellStyle name="Normal 2 5 8 2 2 2" xfId="16946" xr:uid="{623CDF38-61A4-466F-8274-8F69E864F551}"/>
    <cellStyle name="Normal 2 5 8 2 3" xfId="12728" xr:uid="{B6455BF0-9004-4FF6-BAFD-59C67DBAA13F}"/>
    <cellStyle name="Normal 2 5 8 3" xfId="6359" xr:uid="{00000000-0005-0000-0000-000074110000}"/>
    <cellStyle name="Normal 2 5 8 3 2" xfId="14801" xr:uid="{210EB807-4A51-4F9D-8E73-144A35CE53E4}"/>
    <cellStyle name="Normal 2 5 8 4" xfId="10583" xr:uid="{648A75CB-E293-439B-9183-C197DDEA737B}"/>
    <cellStyle name="Normal 2 5 9" xfId="2488" xr:uid="{00000000-0005-0000-0000-000075110000}"/>
    <cellStyle name="Normal 2 5 9 2" xfId="6772" xr:uid="{00000000-0005-0000-0000-000076110000}"/>
    <cellStyle name="Normal 2 5 9 2 2" xfId="15214" xr:uid="{C124A0B4-7A34-42B3-90B2-E4F92B65D282}"/>
    <cellStyle name="Normal 2 5 9 3" xfId="10996" xr:uid="{0DECC87B-DCF4-4C3A-9D0D-EA0FE5721DE3}"/>
    <cellStyle name="Normal 2 6" xfId="322" xr:uid="{00000000-0005-0000-0000-000077110000}"/>
    <cellStyle name="Normal 2 7" xfId="769" xr:uid="{00000000-0005-0000-0000-000078110000}"/>
    <cellStyle name="Normal 2 8" xfId="4495" xr:uid="{00000000-0005-0000-0000-000079110000}"/>
    <cellStyle name="Normal 2 8 2" xfId="12940" xr:uid="{18276728-FD34-43C6-8876-71B1B755BD49}"/>
    <cellStyle name="Normal 3" xfId="323" xr:uid="{00000000-0005-0000-0000-00007A110000}"/>
    <cellStyle name="Normal 3 2" xfId="324" xr:uid="{00000000-0005-0000-0000-00007B110000}"/>
    <cellStyle name="Normal 3 2 10" xfId="8935" xr:uid="{8913A1DD-F2D2-4C81-AE76-DE0872F71CAB}"/>
    <cellStyle name="Normal 3 2 2" xfId="325" xr:uid="{00000000-0005-0000-0000-00007C110000}"/>
    <cellStyle name="Normal 3 2 2 2" xfId="810" xr:uid="{00000000-0005-0000-0000-00007D110000}"/>
    <cellStyle name="Normal 3 2 3" xfId="326" xr:uid="{00000000-0005-0000-0000-00007E110000}"/>
    <cellStyle name="Normal 3 2 3 10" xfId="8936" xr:uid="{6986FF58-1CEE-43EE-83EB-A2837609101B}"/>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7197319E-446F-43D4-B9DF-A404EB49EEC2}"/>
    <cellStyle name="Normal 3 2 3 2 2 2 2 3" xfId="11497" xr:uid="{D1A1A4DC-0A08-4BE3-9D6A-9A6CAD53DB0C}"/>
    <cellStyle name="Normal 3 2 3 2 2 2 3" xfId="5128" xr:uid="{00000000-0005-0000-0000-000084110000}"/>
    <cellStyle name="Normal 3 2 3 2 2 2 3 2" xfId="13570" xr:uid="{2DE564C5-17E7-448C-9DA9-F639F2307D20}"/>
    <cellStyle name="Normal 3 2 3 2 2 2 4" xfId="9352" xr:uid="{C127CE8F-0C9F-4532-85BF-0597F6DA8505}"/>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EACE7E27-AF32-45ED-8602-E09F8767A42F}"/>
    <cellStyle name="Normal 3 2 3 2 2 3 2 3" xfId="11910" xr:uid="{5FF795A2-37AB-48A2-BA59-F4EC3D352329}"/>
    <cellStyle name="Normal 3 2 3 2 2 3 3" xfId="5541" xr:uid="{00000000-0005-0000-0000-000088110000}"/>
    <cellStyle name="Normal 3 2 3 2 2 3 3 2" xfId="13983" xr:uid="{DB7EBB82-5AD4-4459-82DC-ECE69CF41A4C}"/>
    <cellStyle name="Normal 3 2 3 2 2 3 4" xfId="9765" xr:uid="{372BF152-5F46-4B54-9795-8B4FA24395F8}"/>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10961A08-396D-421B-BB37-23C0FABAA881}"/>
    <cellStyle name="Normal 3 2 3 2 2 4 2 3" xfId="12323" xr:uid="{BE8055A7-C58D-41BB-BF7A-EE298888E365}"/>
    <cellStyle name="Normal 3 2 3 2 2 4 3" xfId="5954" xr:uid="{00000000-0005-0000-0000-00008C110000}"/>
    <cellStyle name="Normal 3 2 3 2 2 4 3 2" xfId="14396" xr:uid="{2B5F0D8A-D9A4-4CD4-810D-416B1EE3F2D5}"/>
    <cellStyle name="Normal 3 2 3 2 2 4 4" xfId="10178" xr:uid="{ABE238C1-AEBD-443A-80E5-2CA70A96F06C}"/>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1AC7FEE9-ED80-42D2-9371-F4D696F9A9A1}"/>
    <cellStyle name="Normal 3 2 3 2 2 5 2 3" xfId="12736" xr:uid="{5F33768A-EB06-4084-8645-81246301B1EA}"/>
    <cellStyle name="Normal 3 2 3 2 2 5 3" xfId="6367" xr:uid="{00000000-0005-0000-0000-000090110000}"/>
    <cellStyle name="Normal 3 2 3 2 2 5 3 2" xfId="14809" xr:uid="{08FEC34A-97EC-4B97-9D0A-EB21A0BCCBE3}"/>
    <cellStyle name="Normal 3 2 3 2 2 5 4" xfId="10591" xr:uid="{B978A0C4-BFF9-44A9-A872-84847CDB4BE9}"/>
    <cellStyle name="Normal 3 2 3 2 2 6" xfId="2496" xr:uid="{00000000-0005-0000-0000-000091110000}"/>
    <cellStyle name="Normal 3 2 3 2 2 6 2" xfId="6780" xr:uid="{00000000-0005-0000-0000-000092110000}"/>
    <cellStyle name="Normal 3 2 3 2 2 6 2 2" xfId="15222" xr:uid="{887E3114-7E7F-4121-A7D5-9BDF185F3D7F}"/>
    <cellStyle name="Normal 3 2 3 2 2 6 3" xfId="11004" xr:uid="{1630CE1F-0DD1-4517-82A9-9BB1C607B930}"/>
    <cellStyle name="Normal 3 2 3 2 2 7" xfId="4714" xr:uid="{00000000-0005-0000-0000-000093110000}"/>
    <cellStyle name="Normal 3 2 3 2 2 7 2" xfId="13156" xr:uid="{7241AC79-910F-4B51-A894-6F89BCAF2BC7}"/>
    <cellStyle name="Normal 3 2 3 2 2 8" xfId="8938" xr:uid="{EE2973C0-AF4C-4CB0-A35B-8953BD3D14C0}"/>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48E5A118-13D4-40AC-8008-D4EFFFFE9D48}"/>
    <cellStyle name="Normal 3 2 3 2 3 2 3" xfId="11496" xr:uid="{4F97F21A-93BE-4A40-B759-6EF3DF4EB7B4}"/>
    <cellStyle name="Normal 3 2 3 2 3 3" xfId="5127" xr:uid="{00000000-0005-0000-0000-000097110000}"/>
    <cellStyle name="Normal 3 2 3 2 3 3 2" xfId="13569" xr:uid="{7D887C05-77CA-4E75-8813-327B62B6B0C8}"/>
    <cellStyle name="Normal 3 2 3 2 3 4" xfId="9351" xr:uid="{332FA3C0-B11C-4F4E-AF20-9575270F9A6A}"/>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B33FA2C6-E1B5-47A1-ADEE-15283563AA9A}"/>
    <cellStyle name="Normal 3 2 3 2 4 2 3" xfId="11909" xr:uid="{AB65F57E-C937-4312-AA93-AC18A28D4296}"/>
    <cellStyle name="Normal 3 2 3 2 4 3" xfId="5540" xr:uid="{00000000-0005-0000-0000-00009B110000}"/>
    <cellStyle name="Normal 3 2 3 2 4 3 2" xfId="13982" xr:uid="{1847ECF4-4C6C-4C84-93F4-7397AA076FAC}"/>
    <cellStyle name="Normal 3 2 3 2 4 4" xfId="9764" xr:uid="{C8B24C8C-EBCF-4550-8C29-35D929E0F2FD}"/>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6C9707D6-D1C5-4A34-8A75-575DFE1624D7}"/>
    <cellStyle name="Normal 3 2 3 2 5 2 3" xfId="12322" xr:uid="{6B2D989B-CE55-41D2-92A5-4FDF3E88D840}"/>
    <cellStyle name="Normal 3 2 3 2 5 3" xfId="5953" xr:uid="{00000000-0005-0000-0000-00009F110000}"/>
    <cellStyle name="Normal 3 2 3 2 5 3 2" xfId="14395" xr:uid="{13A739F8-2495-4DAE-A1B0-1AFA72CE4717}"/>
    <cellStyle name="Normal 3 2 3 2 5 4" xfId="10177" xr:uid="{F5B8178C-3155-4498-9312-D1887EF56034}"/>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D093A37E-38F0-4F45-A78A-0B9FCBC3DEBB}"/>
    <cellStyle name="Normal 3 2 3 2 6 2 3" xfId="12735" xr:uid="{CAF78EE9-6C17-43BC-BDD4-904A2CBBA9D2}"/>
    <cellStyle name="Normal 3 2 3 2 6 3" xfId="6366" xr:uid="{00000000-0005-0000-0000-0000A3110000}"/>
    <cellStyle name="Normal 3 2 3 2 6 3 2" xfId="14808" xr:uid="{341AEFB0-7096-41E6-88AC-28708D3920F4}"/>
    <cellStyle name="Normal 3 2 3 2 6 4" xfId="10590" xr:uid="{1BDF887B-C959-4B9E-83B8-7B7479B10B8F}"/>
    <cellStyle name="Normal 3 2 3 2 7" xfId="2495" xr:uid="{00000000-0005-0000-0000-0000A4110000}"/>
    <cellStyle name="Normal 3 2 3 2 7 2" xfId="6779" xr:uid="{00000000-0005-0000-0000-0000A5110000}"/>
    <cellStyle name="Normal 3 2 3 2 7 2 2" xfId="15221" xr:uid="{A7348341-F133-4F50-BD2D-3588236100EA}"/>
    <cellStyle name="Normal 3 2 3 2 7 3" xfId="11003" xr:uid="{706ED073-B3F2-4602-B904-1A5B0D1E51E2}"/>
    <cellStyle name="Normal 3 2 3 2 8" xfId="4713" xr:uid="{00000000-0005-0000-0000-0000A6110000}"/>
    <cellStyle name="Normal 3 2 3 2 8 2" xfId="13155" xr:uid="{FDBCD557-A969-4260-B3B1-259E2F17CE93}"/>
    <cellStyle name="Normal 3 2 3 2 9" xfId="8937" xr:uid="{BCA6A7EB-3482-4B67-AAA4-351F8541CE88}"/>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BB6949FF-D554-4370-99EF-85DD3010B213}"/>
    <cellStyle name="Normal 3 2 3 3 2 2 3" xfId="11498" xr:uid="{55A143F5-CE70-455B-B38D-9D1CF3EBCA05}"/>
    <cellStyle name="Normal 3 2 3 3 2 3" xfId="5129" xr:uid="{00000000-0005-0000-0000-0000AB110000}"/>
    <cellStyle name="Normal 3 2 3 3 2 3 2" xfId="13571" xr:uid="{B916156A-06D2-43F8-904D-37981B48D009}"/>
    <cellStyle name="Normal 3 2 3 3 2 4" xfId="9353" xr:uid="{FB781537-363F-43B8-907C-190494311D05}"/>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A8948FCF-ACA4-40B4-A83C-EA08E9B02A6A}"/>
    <cellStyle name="Normal 3 2 3 3 3 2 3" xfId="11911" xr:uid="{1FA050AA-438D-469E-9E41-896503DA34CC}"/>
    <cellStyle name="Normal 3 2 3 3 3 3" xfId="5542" xr:uid="{00000000-0005-0000-0000-0000AF110000}"/>
    <cellStyle name="Normal 3 2 3 3 3 3 2" xfId="13984" xr:uid="{EA7F0DCB-D43C-4C30-BE29-9EAFA2FF7C35}"/>
    <cellStyle name="Normal 3 2 3 3 3 4" xfId="9766" xr:uid="{5F89EE14-7F1A-434C-BCFD-ACA6765CA741}"/>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F79546D4-54DC-4D99-ACA8-4C704997A073}"/>
    <cellStyle name="Normal 3 2 3 3 4 2 3" xfId="12324" xr:uid="{5ADC5999-4E05-49A6-A14A-1BE55B5A702F}"/>
    <cellStyle name="Normal 3 2 3 3 4 3" xfId="5955" xr:uid="{00000000-0005-0000-0000-0000B3110000}"/>
    <cellStyle name="Normal 3 2 3 3 4 3 2" xfId="14397" xr:uid="{DD8175B9-82CF-4430-BEDA-39A89A20CA8D}"/>
    <cellStyle name="Normal 3 2 3 3 4 4" xfId="10179" xr:uid="{51E9701C-9B61-4DA3-83DD-1A1FB037ADF2}"/>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3E6F956D-18E0-4C9E-8364-431CEFD8A415}"/>
    <cellStyle name="Normal 3 2 3 3 5 2 3" xfId="12737" xr:uid="{5F215536-14DE-4DE9-917C-814C2A574D10}"/>
    <cellStyle name="Normal 3 2 3 3 5 3" xfId="6368" xr:uid="{00000000-0005-0000-0000-0000B7110000}"/>
    <cellStyle name="Normal 3 2 3 3 5 3 2" xfId="14810" xr:uid="{252CB3FB-3940-44A9-ADDB-8A8D6D796AA7}"/>
    <cellStyle name="Normal 3 2 3 3 5 4" xfId="10592" xr:uid="{0A6C3E7E-D1A2-4412-A8BB-1271B0D6653B}"/>
    <cellStyle name="Normal 3 2 3 3 6" xfId="2497" xr:uid="{00000000-0005-0000-0000-0000B8110000}"/>
    <cellStyle name="Normal 3 2 3 3 6 2" xfId="6781" xr:uid="{00000000-0005-0000-0000-0000B9110000}"/>
    <cellStyle name="Normal 3 2 3 3 6 2 2" xfId="15223" xr:uid="{D2550E79-D1EF-43AC-B382-6D93BD5A506E}"/>
    <cellStyle name="Normal 3 2 3 3 6 3" xfId="11005" xr:uid="{2A7E7A35-1765-45A5-914B-D9DA8CF3E3D0}"/>
    <cellStyle name="Normal 3 2 3 3 7" xfId="4715" xr:uid="{00000000-0005-0000-0000-0000BA110000}"/>
    <cellStyle name="Normal 3 2 3 3 7 2" xfId="13157" xr:uid="{FB47D6F5-5CBE-4D7D-B6C3-8119A06E2787}"/>
    <cellStyle name="Normal 3 2 3 3 8" xfId="8939" xr:uid="{39999242-C177-4F50-8E8A-A6B4F8C29906}"/>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57CC9CFC-BA0B-4BC5-95BD-2A84020F8DF1}"/>
    <cellStyle name="Normal 3 2 3 4 2 3" xfId="11495" xr:uid="{A2188AE3-5258-4A08-B825-A7BD182C578D}"/>
    <cellStyle name="Normal 3 2 3 4 3" xfId="5126" xr:uid="{00000000-0005-0000-0000-0000BE110000}"/>
    <cellStyle name="Normal 3 2 3 4 3 2" xfId="13568" xr:uid="{2651226E-7FD0-45D5-A6B2-05EED5178BF9}"/>
    <cellStyle name="Normal 3 2 3 4 4" xfId="9350" xr:uid="{BA4ED4A5-B3EA-4040-941E-2C5F1C9FA8F9}"/>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C9751F14-1059-4587-A787-8010330F59A4}"/>
    <cellStyle name="Normal 3 2 3 5 2 3" xfId="11908" xr:uid="{61B5B0C0-9B43-4274-9CDC-F0D7DB57F994}"/>
    <cellStyle name="Normal 3 2 3 5 3" xfId="5539" xr:uid="{00000000-0005-0000-0000-0000C2110000}"/>
    <cellStyle name="Normal 3 2 3 5 3 2" xfId="13981" xr:uid="{0D3EA770-3C29-42C1-AD3B-19BC381DC5ED}"/>
    <cellStyle name="Normal 3 2 3 5 4" xfId="9763" xr:uid="{2C06B348-3B90-406D-BA52-029C30B307A2}"/>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E4C0123C-9217-4236-863B-0C18CC7FB50E}"/>
    <cellStyle name="Normal 3 2 3 6 2 3" xfId="12321" xr:uid="{173F393F-D335-41C5-B955-E3CB57020D9F}"/>
    <cellStyle name="Normal 3 2 3 6 3" xfId="5952" xr:uid="{00000000-0005-0000-0000-0000C6110000}"/>
    <cellStyle name="Normal 3 2 3 6 3 2" xfId="14394" xr:uid="{01678C97-0CBC-415E-ACAE-ACC3AF0B82E2}"/>
    <cellStyle name="Normal 3 2 3 6 4" xfId="10176" xr:uid="{11CE50CF-D724-4022-BA75-1582EAD86774}"/>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27A1A5C2-95A5-4861-8076-D95C41AAE17B}"/>
    <cellStyle name="Normal 3 2 3 7 2 3" xfId="12734" xr:uid="{F6E642EE-7F56-4D93-95B1-47F5145E82F5}"/>
    <cellStyle name="Normal 3 2 3 7 3" xfId="6365" xr:uid="{00000000-0005-0000-0000-0000CA110000}"/>
    <cellStyle name="Normal 3 2 3 7 3 2" xfId="14807" xr:uid="{8F64CD3B-917D-45C2-B294-FDC801079FA5}"/>
    <cellStyle name="Normal 3 2 3 7 4" xfId="10589" xr:uid="{60DCAC2E-5326-4460-9972-5ACECB6455B4}"/>
    <cellStyle name="Normal 3 2 3 8" xfId="2494" xr:uid="{00000000-0005-0000-0000-0000CB110000}"/>
    <cellStyle name="Normal 3 2 3 8 2" xfId="6778" xr:uid="{00000000-0005-0000-0000-0000CC110000}"/>
    <cellStyle name="Normal 3 2 3 8 2 2" xfId="15220" xr:uid="{1443E6BE-462D-4281-883D-3C582453D15B}"/>
    <cellStyle name="Normal 3 2 3 8 3" xfId="11002" xr:uid="{EE540975-4023-4E93-A21E-CE42E9B24FEC}"/>
    <cellStyle name="Normal 3 2 3 9" xfId="4712" xr:uid="{00000000-0005-0000-0000-0000CD110000}"/>
    <cellStyle name="Normal 3 2 3 9 2" xfId="13154" xr:uid="{6B9B0EEF-BFA8-4066-B844-DD47A1377546}"/>
    <cellStyle name="Normal 3 2 4" xfId="809" xr:uid="{00000000-0005-0000-0000-0000CE110000}"/>
    <cellStyle name="Normal 3 2 4 2" xfId="3047" xr:uid="{00000000-0005-0000-0000-0000CF110000}"/>
    <cellStyle name="Normal 3 2 4 2 2" xfId="7270" xr:uid="{00000000-0005-0000-0000-0000D0110000}"/>
    <cellStyle name="Normal 3 2 4 2 2 2" xfId="15712" xr:uid="{244BB152-0A23-42FA-98F2-B61CB089D3F6}"/>
    <cellStyle name="Normal 3 2 4 2 3" xfId="11494" xr:uid="{B243EBE3-22E2-4381-A755-FF9BF5F993CD}"/>
    <cellStyle name="Normal 3 2 4 3" xfId="5125" xr:uid="{00000000-0005-0000-0000-0000D1110000}"/>
    <cellStyle name="Normal 3 2 4 3 2" xfId="13567" xr:uid="{67878BDA-19D8-4B6D-8587-FC567EFC5601}"/>
    <cellStyle name="Normal 3 2 4 4" xfId="9349" xr:uid="{A957DBB4-18E1-443C-8EB1-CA5826835F61}"/>
    <cellStyle name="Normal 3 2 5" xfId="1230" xr:uid="{00000000-0005-0000-0000-0000D2110000}"/>
    <cellStyle name="Normal 3 2 5 2" xfId="3460" xr:uid="{00000000-0005-0000-0000-0000D3110000}"/>
    <cellStyle name="Normal 3 2 5 2 2" xfId="7683" xr:uid="{00000000-0005-0000-0000-0000D4110000}"/>
    <cellStyle name="Normal 3 2 5 2 2 2" xfId="16125" xr:uid="{3C3C61F7-0A21-4AE9-AFA9-BDA79FEABCD5}"/>
    <cellStyle name="Normal 3 2 5 2 3" xfId="11907" xr:uid="{EFCAA703-C2D0-4EEC-B993-DFE8AED24702}"/>
    <cellStyle name="Normal 3 2 5 3" xfId="5538" xr:uid="{00000000-0005-0000-0000-0000D5110000}"/>
    <cellStyle name="Normal 3 2 5 3 2" xfId="13980" xr:uid="{ED265FC9-2F6C-4214-AD81-3737D29FCCDC}"/>
    <cellStyle name="Normal 3 2 5 4" xfId="9762" xr:uid="{1AEB1271-5ADD-46D6-9F95-3000A8990CBC}"/>
    <cellStyle name="Normal 3 2 6" xfId="1643" xr:uid="{00000000-0005-0000-0000-0000D6110000}"/>
    <cellStyle name="Normal 3 2 6 2" xfId="3873" xr:uid="{00000000-0005-0000-0000-0000D7110000}"/>
    <cellStyle name="Normal 3 2 6 2 2" xfId="8096" xr:uid="{00000000-0005-0000-0000-0000D8110000}"/>
    <cellStyle name="Normal 3 2 6 2 2 2" xfId="16538" xr:uid="{1C159BC0-7A27-4D59-95CC-A655622F0CE7}"/>
    <cellStyle name="Normal 3 2 6 2 3" xfId="12320" xr:uid="{101B8C48-9062-4737-8A91-4D51743A3C6D}"/>
    <cellStyle name="Normal 3 2 6 3" xfId="5951" xr:uid="{00000000-0005-0000-0000-0000D9110000}"/>
    <cellStyle name="Normal 3 2 6 3 2" xfId="14393" xr:uid="{F2DA2C39-23FC-47DC-8E59-59569F55B7CE}"/>
    <cellStyle name="Normal 3 2 6 4" xfId="10175" xr:uid="{36F00DF5-F761-495E-B7E5-ECEFFEDF0977}"/>
    <cellStyle name="Normal 3 2 7" xfId="2057" xr:uid="{00000000-0005-0000-0000-0000DA110000}"/>
    <cellStyle name="Normal 3 2 7 2" xfId="4286" xr:uid="{00000000-0005-0000-0000-0000DB110000}"/>
    <cellStyle name="Normal 3 2 7 2 2" xfId="8509" xr:uid="{00000000-0005-0000-0000-0000DC110000}"/>
    <cellStyle name="Normal 3 2 7 2 2 2" xfId="16951" xr:uid="{5D27B692-C8CA-4025-9437-E8391B0FA4E4}"/>
    <cellStyle name="Normal 3 2 7 2 3" xfId="12733" xr:uid="{CFE6F4CE-907C-4939-BED7-384C54494E16}"/>
    <cellStyle name="Normal 3 2 7 3" xfId="6364" xr:uid="{00000000-0005-0000-0000-0000DD110000}"/>
    <cellStyle name="Normal 3 2 7 3 2" xfId="14806" xr:uid="{43A57C15-9DBE-4090-8FFE-E8E8D4922F84}"/>
    <cellStyle name="Normal 3 2 7 4" xfId="10588" xr:uid="{A8F407FF-88BE-4B17-9022-0EC28545925D}"/>
    <cellStyle name="Normal 3 2 8" xfId="2493" xr:uid="{00000000-0005-0000-0000-0000DE110000}"/>
    <cellStyle name="Normal 3 2 8 2" xfId="6777" xr:uid="{00000000-0005-0000-0000-0000DF110000}"/>
    <cellStyle name="Normal 3 2 8 2 2" xfId="15219" xr:uid="{745CA7D5-94DD-4EDB-8898-4C5787B8538B}"/>
    <cellStyle name="Normal 3 2 8 3" xfId="11001" xr:uid="{DE7D8EEC-82EE-4C94-9562-9EC0B74D78F5}"/>
    <cellStyle name="Normal 3 2 9" xfId="4711" xr:uid="{00000000-0005-0000-0000-0000E0110000}"/>
    <cellStyle name="Normal 3 2 9 2" xfId="13153" xr:uid="{E0CE83E3-6984-40BC-BD0C-552E734B757A}"/>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3BE1642E-4424-456B-BFA9-81B0A5A891E6}"/>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336F8DA1-B05D-4881-A9FF-4D25A5D47F4C}"/>
    <cellStyle name="Normal 4 2 2 10 2 3" xfId="12738" xr:uid="{03644D8D-8D46-4C3E-A64B-14CD5613FC72}"/>
    <cellStyle name="Normal 4 2 2 10 3" xfId="6369" xr:uid="{00000000-0005-0000-0000-0000ED110000}"/>
    <cellStyle name="Normal 4 2 2 10 3 2" xfId="14811" xr:uid="{F1F6CDAE-5A93-4956-8697-B529AC987930}"/>
    <cellStyle name="Normal 4 2 2 10 4" xfId="10593" xr:uid="{A3EDC072-DECD-4509-B58E-66DA7254BF26}"/>
    <cellStyle name="Normal 4 2 2 11" xfId="2498" xr:uid="{00000000-0005-0000-0000-0000EE110000}"/>
    <cellStyle name="Normal 4 2 2 11 2" xfId="6782" xr:uid="{00000000-0005-0000-0000-0000EF110000}"/>
    <cellStyle name="Normal 4 2 2 11 2 2" xfId="15224" xr:uid="{3C5BCFA4-BCC0-4181-B87A-8AD02E51411C}"/>
    <cellStyle name="Normal 4 2 2 11 3" xfId="11006" xr:uid="{23DC7595-0CED-44E2-BB5B-E3E121DF0109}"/>
    <cellStyle name="Normal 4 2 2 12" xfId="4717" xr:uid="{00000000-0005-0000-0000-0000F0110000}"/>
    <cellStyle name="Normal 4 2 2 12 2" xfId="13159" xr:uid="{54428FC6-525F-42D3-9D15-F79F3D907545}"/>
    <cellStyle name="Normal 4 2 2 13" xfId="8941" xr:uid="{BF4FCC95-2567-4877-A512-9E91D46D80B6}"/>
    <cellStyle name="Normal 4 2 2 2" xfId="338" xr:uid="{00000000-0005-0000-0000-0000F1110000}"/>
    <cellStyle name="Normal 4 2 2 3" xfId="339" xr:uid="{00000000-0005-0000-0000-0000F2110000}"/>
    <cellStyle name="Normal 4 2 2 3 10" xfId="4718" xr:uid="{00000000-0005-0000-0000-0000F3110000}"/>
    <cellStyle name="Normal 4 2 2 3 10 2" xfId="13160" xr:uid="{C1CA388D-2CA7-4505-908A-065629CDFE78}"/>
    <cellStyle name="Normal 4 2 2 3 11" xfId="8942" xr:uid="{4A5A687E-7D8E-458E-A461-D8971B69EF32}"/>
    <cellStyle name="Normal 4 2 2 3 2" xfId="340" xr:uid="{00000000-0005-0000-0000-0000F4110000}"/>
    <cellStyle name="Normal 4 2 2 3 2 10" xfId="8943" xr:uid="{38751CB2-E7AB-4207-A0A7-582E378EB68D}"/>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D9C824FC-2C20-4D00-BF1F-47032E8AF088}"/>
    <cellStyle name="Normal 4 2 2 3 2 2 2 2 2 3" xfId="11503" xr:uid="{5608E914-E6E9-4625-A781-3F7680C3135D}"/>
    <cellStyle name="Normal 4 2 2 3 2 2 2 2 3" xfId="5134" xr:uid="{00000000-0005-0000-0000-0000FA110000}"/>
    <cellStyle name="Normal 4 2 2 3 2 2 2 2 3 2" xfId="13576" xr:uid="{95348CD8-4FCC-42D4-A587-9E254FF7AADD}"/>
    <cellStyle name="Normal 4 2 2 3 2 2 2 2 4" xfId="9358" xr:uid="{2FCA6D3E-B2B9-48C3-90DD-6498E0012ACD}"/>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C72A6CA1-5A02-4297-93B4-ED5E0C89E2EC}"/>
    <cellStyle name="Normal 4 2 2 3 2 2 2 3 2 3" xfId="11916" xr:uid="{5E9345CC-AD4C-4E36-BF1C-7EE7BA9AB87F}"/>
    <cellStyle name="Normal 4 2 2 3 2 2 2 3 3" xfId="5547" xr:uid="{00000000-0005-0000-0000-0000FE110000}"/>
    <cellStyle name="Normal 4 2 2 3 2 2 2 3 3 2" xfId="13989" xr:uid="{9465BDC4-2C96-4173-8DC5-A642D1B25484}"/>
    <cellStyle name="Normal 4 2 2 3 2 2 2 3 4" xfId="9771" xr:uid="{B75EF821-3119-46CD-9D7A-EED2C246B38B}"/>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D6A1D9CE-443D-4600-83F0-87530A0B851B}"/>
    <cellStyle name="Normal 4 2 2 3 2 2 2 4 2 3" xfId="12329" xr:uid="{BE32C95B-DB86-4628-AC02-669348EA1BC9}"/>
    <cellStyle name="Normal 4 2 2 3 2 2 2 4 3" xfId="5960" xr:uid="{00000000-0005-0000-0000-000002120000}"/>
    <cellStyle name="Normal 4 2 2 3 2 2 2 4 3 2" xfId="14402" xr:uid="{F4DA1469-C5A0-46C9-BF11-787B0DD78DB4}"/>
    <cellStyle name="Normal 4 2 2 3 2 2 2 4 4" xfId="10184" xr:uid="{15BC9319-49D1-4DCC-8B32-CB806C14E5C8}"/>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6E873909-E1B9-4A0D-A6C0-8E9533B107FF}"/>
    <cellStyle name="Normal 4 2 2 3 2 2 2 5 2 3" xfId="12742" xr:uid="{C9D8C078-0FB4-4F1E-AEEB-7F6EBA60B7BA}"/>
    <cellStyle name="Normal 4 2 2 3 2 2 2 5 3" xfId="6373" xr:uid="{00000000-0005-0000-0000-000006120000}"/>
    <cellStyle name="Normal 4 2 2 3 2 2 2 5 3 2" xfId="14815" xr:uid="{0696D9FC-79B9-473D-9269-2BDB78792A77}"/>
    <cellStyle name="Normal 4 2 2 3 2 2 2 5 4" xfId="10597" xr:uid="{74F098C8-7A39-48CA-A859-983BB728F16E}"/>
    <cellStyle name="Normal 4 2 2 3 2 2 2 6" xfId="2502" xr:uid="{00000000-0005-0000-0000-000007120000}"/>
    <cellStyle name="Normal 4 2 2 3 2 2 2 6 2" xfId="6786" xr:uid="{00000000-0005-0000-0000-000008120000}"/>
    <cellStyle name="Normal 4 2 2 3 2 2 2 6 2 2" xfId="15228" xr:uid="{346499B3-6869-4460-90AA-A2B8B558A276}"/>
    <cellStyle name="Normal 4 2 2 3 2 2 2 6 3" xfId="11010" xr:uid="{77FECAC0-AD49-4B1F-B4AE-154110AD8C81}"/>
    <cellStyle name="Normal 4 2 2 3 2 2 2 7" xfId="4721" xr:uid="{00000000-0005-0000-0000-000009120000}"/>
    <cellStyle name="Normal 4 2 2 3 2 2 2 7 2" xfId="13163" xr:uid="{CD3445C1-CA4D-4921-8301-3BE407AC92CB}"/>
    <cellStyle name="Normal 4 2 2 3 2 2 2 8" xfId="8945" xr:uid="{7112B5F5-DA92-469E-AF7B-B6382B9730A7}"/>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5CC86727-824A-4E3C-BC4C-85A25C6B22C0}"/>
    <cellStyle name="Normal 4 2 2 3 2 2 3 2 3" xfId="11502" xr:uid="{CCB4FCB5-F3A5-48DC-97A4-B9FF6A95E768}"/>
    <cellStyle name="Normal 4 2 2 3 2 2 3 3" xfId="5133" xr:uid="{00000000-0005-0000-0000-00000D120000}"/>
    <cellStyle name="Normal 4 2 2 3 2 2 3 3 2" xfId="13575" xr:uid="{26B51E5E-E516-4436-8138-9846F154F5D1}"/>
    <cellStyle name="Normal 4 2 2 3 2 2 3 4" xfId="9357" xr:uid="{F95DE3EF-F9D2-4C67-A0AA-234771604903}"/>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3F03994B-C000-45A3-A061-C93B2AB6B150}"/>
    <cellStyle name="Normal 4 2 2 3 2 2 4 2 3" xfId="11915" xr:uid="{72D8B57C-F56E-4394-8B55-99540F02D6BB}"/>
    <cellStyle name="Normal 4 2 2 3 2 2 4 3" xfId="5546" xr:uid="{00000000-0005-0000-0000-000011120000}"/>
    <cellStyle name="Normal 4 2 2 3 2 2 4 3 2" xfId="13988" xr:uid="{F33A2428-C3F9-45D4-9B10-0F6CF38B4AF8}"/>
    <cellStyle name="Normal 4 2 2 3 2 2 4 4" xfId="9770" xr:uid="{873C688A-CCED-4658-8235-FACDBDB6C9BC}"/>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A9C576CF-BD08-4E3C-8DB1-96A9EBB8DA19}"/>
    <cellStyle name="Normal 4 2 2 3 2 2 5 2 3" xfId="12328" xr:uid="{05DAD20F-CE4A-4893-BD3B-A951C5A3C360}"/>
    <cellStyle name="Normal 4 2 2 3 2 2 5 3" xfId="5959" xr:uid="{00000000-0005-0000-0000-000015120000}"/>
    <cellStyle name="Normal 4 2 2 3 2 2 5 3 2" xfId="14401" xr:uid="{A9F02DDA-7470-4472-B72B-102B5DA91C1B}"/>
    <cellStyle name="Normal 4 2 2 3 2 2 5 4" xfId="10183" xr:uid="{68E13666-14B3-489F-AF01-73C332DE398A}"/>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64BC027D-0544-4F33-BCAE-188CBD31CA85}"/>
    <cellStyle name="Normal 4 2 2 3 2 2 6 2 3" xfId="12741" xr:uid="{63D89D58-CBCE-41E4-B920-5A55A2110FCC}"/>
    <cellStyle name="Normal 4 2 2 3 2 2 6 3" xfId="6372" xr:uid="{00000000-0005-0000-0000-000019120000}"/>
    <cellStyle name="Normal 4 2 2 3 2 2 6 3 2" xfId="14814" xr:uid="{8B9913E7-DF62-46A0-AA8F-B663DE4288D9}"/>
    <cellStyle name="Normal 4 2 2 3 2 2 6 4" xfId="10596" xr:uid="{BEAA2531-D8EF-4E68-B7BB-7610AD6DE710}"/>
    <cellStyle name="Normal 4 2 2 3 2 2 7" xfId="2501" xr:uid="{00000000-0005-0000-0000-00001A120000}"/>
    <cellStyle name="Normal 4 2 2 3 2 2 7 2" xfId="6785" xr:uid="{00000000-0005-0000-0000-00001B120000}"/>
    <cellStyle name="Normal 4 2 2 3 2 2 7 2 2" xfId="15227" xr:uid="{AEDBFE26-DDF5-42E1-A4C5-02A6B0ACDE1D}"/>
    <cellStyle name="Normal 4 2 2 3 2 2 7 3" xfId="11009" xr:uid="{65E314AC-D2D2-4AD9-BECE-8892A973259B}"/>
    <cellStyle name="Normal 4 2 2 3 2 2 8" xfId="4720" xr:uid="{00000000-0005-0000-0000-00001C120000}"/>
    <cellStyle name="Normal 4 2 2 3 2 2 8 2" xfId="13162" xr:uid="{9127B4AE-4547-4B6B-A4E8-778A87197732}"/>
    <cellStyle name="Normal 4 2 2 3 2 2 9" xfId="8944" xr:uid="{C07A419D-F121-4662-83A6-82353B83E0BD}"/>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840C1A9F-E841-482D-B563-C8528A44DF58}"/>
    <cellStyle name="Normal 4 2 2 3 2 3 2 2 3" xfId="11504" xr:uid="{555BC06D-CDC6-4726-9420-C8E192F8D099}"/>
    <cellStyle name="Normal 4 2 2 3 2 3 2 3" xfId="5135" xr:uid="{00000000-0005-0000-0000-000021120000}"/>
    <cellStyle name="Normal 4 2 2 3 2 3 2 3 2" xfId="13577" xr:uid="{29826E86-8064-4D76-ACCE-007EE255849C}"/>
    <cellStyle name="Normal 4 2 2 3 2 3 2 4" xfId="9359" xr:uid="{35BECE64-7E7A-4DB5-B15B-264803C591F6}"/>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1030B637-2766-4CEE-BB15-3EC1D26E4380}"/>
    <cellStyle name="Normal 4 2 2 3 2 3 3 2 3" xfId="11917" xr:uid="{C9B0673F-A304-4FFC-876E-2A4EA2A874A4}"/>
    <cellStyle name="Normal 4 2 2 3 2 3 3 3" xfId="5548" xr:uid="{00000000-0005-0000-0000-000025120000}"/>
    <cellStyle name="Normal 4 2 2 3 2 3 3 3 2" xfId="13990" xr:uid="{F82A92C5-0887-444D-9D8A-71D6949F89B6}"/>
    <cellStyle name="Normal 4 2 2 3 2 3 3 4" xfId="9772" xr:uid="{5FC37694-1EAF-49C1-8393-A76B80624798}"/>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1E3DE156-689B-4654-9A17-5A6573C403F3}"/>
    <cellStyle name="Normal 4 2 2 3 2 3 4 2 3" xfId="12330" xr:uid="{EDC8765F-F8AB-44FD-90A7-BBB12E48F86E}"/>
    <cellStyle name="Normal 4 2 2 3 2 3 4 3" xfId="5961" xr:uid="{00000000-0005-0000-0000-000029120000}"/>
    <cellStyle name="Normal 4 2 2 3 2 3 4 3 2" xfId="14403" xr:uid="{E7A39B25-7454-4BD8-9E54-8D61DC5A7553}"/>
    <cellStyle name="Normal 4 2 2 3 2 3 4 4" xfId="10185" xr:uid="{29BE37D4-A0A6-4B6E-9E0D-17490BC6D03E}"/>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0029E44A-F742-4FAF-8BAC-E1626514B887}"/>
    <cellStyle name="Normal 4 2 2 3 2 3 5 2 3" xfId="12743" xr:uid="{D4C26860-BA29-4FDC-86B4-84983E5BE576}"/>
    <cellStyle name="Normal 4 2 2 3 2 3 5 3" xfId="6374" xr:uid="{00000000-0005-0000-0000-00002D120000}"/>
    <cellStyle name="Normal 4 2 2 3 2 3 5 3 2" xfId="14816" xr:uid="{224FEE73-AFAD-449D-A68F-D519C8A1AB0F}"/>
    <cellStyle name="Normal 4 2 2 3 2 3 5 4" xfId="10598" xr:uid="{22BDA063-167A-4726-88BA-64A8A387F689}"/>
    <cellStyle name="Normal 4 2 2 3 2 3 6" xfId="2503" xr:uid="{00000000-0005-0000-0000-00002E120000}"/>
    <cellStyle name="Normal 4 2 2 3 2 3 6 2" xfId="6787" xr:uid="{00000000-0005-0000-0000-00002F120000}"/>
    <cellStyle name="Normal 4 2 2 3 2 3 6 2 2" xfId="15229" xr:uid="{130EA15D-9BC9-4F83-AAFC-740FBBDB5A6A}"/>
    <cellStyle name="Normal 4 2 2 3 2 3 6 3" xfId="11011" xr:uid="{F9F3DA4F-E629-4FFA-BE81-CB145D6A9BE9}"/>
    <cellStyle name="Normal 4 2 2 3 2 3 7" xfId="4722" xr:uid="{00000000-0005-0000-0000-000030120000}"/>
    <cellStyle name="Normal 4 2 2 3 2 3 7 2" xfId="13164" xr:uid="{811BE7EF-6D01-4DD9-AE1A-B468D37FA2EC}"/>
    <cellStyle name="Normal 4 2 2 3 2 3 8" xfId="8946" xr:uid="{64177DBE-9D82-406B-ADF4-46E307A3404D}"/>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B06DF031-C5CF-4D8E-8CBE-3679059FC44E}"/>
    <cellStyle name="Normal 4 2 2 3 2 4 2 3" xfId="11501" xr:uid="{9486B9D0-F2CD-43C5-B8B9-C87ED2466F26}"/>
    <cellStyle name="Normal 4 2 2 3 2 4 3" xfId="5132" xr:uid="{00000000-0005-0000-0000-000034120000}"/>
    <cellStyle name="Normal 4 2 2 3 2 4 3 2" xfId="13574" xr:uid="{9265A01F-F701-451C-B132-0357826472E5}"/>
    <cellStyle name="Normal 4 2 2 3 2 4 4" xfId="9356" xr:uid="{BA3AAF94-4973-45BC-BB4B-E863CB9D20E2}"/>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E5864C31-B258-41C7-A752-BF1B188A2960}"/>
    <cellStyle name="Normal 4 2 2 3 2 5 2 3" xfId="11914" xr:uid="{A0645214-EF03-4C47-9BDB-FB862D02F03D}"/>
    <cellStyle name="Normal 4 2 2 3 2 5 3" xfId="5545" xr:uid="{00000000-0005-0000-0000-000038120000}"/>
    <cellStyle name="Normal 4 2 2 3 2 5 3 2" xfId="13987" xr:uid="{00027E8E-39B5-4099-B542-60EEB06B4DA3}"/>
    <cellStyle name="Normal 4 2 2 3 2 5 4" xfId="9769" xr:uid="{3B01CD16-2064-434C-AE93-7D84524E244A}"/>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94739215-0E5E-4E7C-A9A5-283B9AA7D032}"/>
    <cellStyle name="Normal 4 2 2 3 2 6 2 3" xfId="12327" xr:uid="{BC7A3A51-1360-4A56-BB42-D92B9AC93BEA}"/>
    <cellStyle name="Normal 4 2 2 3 2 6 3" xfId="5958" xr:uid="{00000000-0005-0000-0000-00003C120000}"/>
    <cellStyle name="Normal 4 2 2 3 2 6 3 2" xfId="14400" xr:uid="{36A84784-F5CE-41F1-8AB9-F099EA2A6B1B}"/>
    <cellStyle name="Normal 4 2 2 3 2 6 4" xfId="10182" xr:uid="{0B4103BD-022D-4452-979E-69BDCDA81CE3}"/>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48CB0615-85F8-4D67-9403-57B7A3033EAF}"/>
    <cellStyle name="Normal 4 2 2 3 2 7 2 3" xfId="12740" xr:uid="{43CA87A7-5B84-490E-B3D0-F3D491DC9EFA}"/>
    <cellStyle name="Normal 4 2 2 3 2 7 3" xfId="6371" xr:uid="{00000000-0005-0000-0000-000040120000}"/>
    <cellStyle name="Normal 4 2 2 3 2 7 3 2" xfId="14813" xr:uid="{89621F61-4492-446A-A451-710E02C91AC2}"/>
    <cellStyle name="Normal 4 2 2 3 2 7 4" xfId="10595" xr:uid="{CE2A117D-D5B8-4D46-9A5A-428C0AC23A3F}"/>
    <cellStyle name="Normal 4 2 2 3 2 8" xfId="2500" xr:uid="{00000000-0005-0000-0000-000041120000}"/>
    <cellStyle name="Normal 4 2 2 3 2 8 2" xfId="6784" xr:uid="{00000000-0005-0000-0000-000042120000}"/>
    <cellStyle name="Normal 4 2 2 3 2 8 2 2" xfId="15226" xr:uid="{47CA001D-66F1-43BA-BAF5-769F79B9D097}"/>
    <cellStyle name="Normal 4 2 2 3 2 8 3" xfId="11008" xr:uid="{6BAB0CA2-2A77-48EC-A336-6BB59F15166D}"/>
    <cellStyle name="Normal 4 2 2 3 2 9" xfId="4719" xr:uid="{00000000-0005-0000-0000-000043120000}"/>
    <cellStyle name="Normal 4 2 2 3 2 9 2" xfId="13161" xr:uid="{54929802-ACC8-4834-9BCE-DA83F9FDC532}"/>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4D657B92-DA53-44AB-AB8C-A73B7083FACE}"/>
    <cellStyle name="Normal 4 2 2 3 3 2 2 2 3" xfId="11506" xr:uid="{FD1ABF82-9E83-4792-8610-78460A339B9F}"/>
    <cellStyle name="Normal 4 2 2 3 3 2 2 3" xfId="5137" xr:uid="{00000000-0005-0000-0000-000049120000}"/>
    <cellStyle name="Normal 4 2 2 3 3 2 2 3 2" xfId="13579" xr:uid="{7436B6C2-17FA-4CA7-86A3-6B318206C527}"/>
    <cellStyle name="Normal 4 2 2 3 3 2 2 4" xfId="9361" xr:uid="{817C2C49-C149-4A7B-AAE6-97FFF98A0C56}"/>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AEDD5C36-CEA0-446C-B0D3-7E3333280E28}"/>
    <cellStyle name="Normal 4 2 2 3 3 2 3 2 3" xfId="11919" xr:uid="{AF82E203-1423-4262-AA59-066E79884B34}"/>
    <cellStyle name="Normal 4 2 2 3 3 2 3 3" xfId="5550" xr:uid="{00000000-0005-0000-0000-00004D120000}"/>
    <cellStyle name="Normal 4 2 2 3 3 2 3 3 2" xfId="13992" xr:uid="{32DC135D-35B6-45B0-9C3E-DDF60DE48529}"/>
    <cellStyle name="Normal 4 2 2 3 3 2 3 4" xfId="9774" xr:uid="{6AA7E44F-C0A6-4FB7-AE8D-A48C44899023}"/>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3A9A6F3F-DAC5-441D-B382-EDDFCEC6A672}"/>
    <cellStyle name="Normal 4 2 2 3 3 2 4 2 3" xfId="12332" xr:uid="{DA58B768-E186-4935-A7B4-87E9FA6BFC47}"/>
    <cellStyle name="Normal 4 2 2 3 3 2 4 3" xfId="5963" xr:uid="{00000000-0005-0000-0000-000051120000}"/>
    <cellStyle name="Normal 4 2 2 3 3 2 4 3 2" xfId="14405" xr:uid="{A36E8A30-17AA-49EF-A841-160A8B49DBCD}"/>
    <cellStyle name="Normal 4 2 2 3 3 2 4 4" xfId="10187" xr:uid="{F2F57F34-DC9B-41EC-8474-F4623019769D}"/>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76FE391E-7512-47E6-BD38-116AB2786C48}"/>
    <cellStyle name="Normal 4 2 2 3 3 2 5 2 3" xfId="12745" xr:uid="{A8C65128-E38D-4D88-8BE3-F0D1388544B5}"/>
    <cellStyle name="Normal 4 2 2 3 3 2 5 3" xfId="6376" xr:uid="{00000000-0005-0000-0000-000055120000}"/>
    <cellStyle name="Normal 4 2 2 3 3 2 5 3 2" xfId="14818" xr:uid="{E38B81A3-FC8A-4809-8E4E-52841258AC7F}"/>
    <cellStyle name="Normal 4 2 2 3 3 2 5 4" xfId="10600" xr:uid="{54538F18-37D1-4E33-85D9-492A0D0356DC}"/>
    <cellStyle name="Normal 4 2 2 3 3 2 6" xfId="2505" xr:uid="{00000000-0005-0000-0000-000056120000}"/>
    <cellStyle name="Normal 4 2 2 3 3 2 6 2" xfId="6789" xr:uid="{00000000-0005-0000-0000-000057120000}"/>
    <cellStyle name="Normal 4 2 2 3 3 2 6 2 2" xfId="15231" xr:uid="{CFB14740-2051-4408-A071-62B93FA333A7}"/>
    <cellStyle name="Normal 4 2 2 3 3 2 6 3" xfId="11013" xr:uid="{A7106D51-2242-44AE-AE31-2801F22E4B1C}"/>
    <cellStyle name="Normal 4 2 2 3 3 2 7" xfId="4724" xr:uid="{00000000-0005-0000-0000-000058120000}"/>
    <cellStyle name="Normal 4 2 2 3 3 2 7 2" xfId="13166" xr:uid="{DE3516C1-0F5C-4F8F-AC87-2658B0C18A0E}"/>
    <cellStyle name="Normal 4 2 2 3 3 2 8" xfId="8948" xr:uid="{CB3C152A-13FD-4AB8-8C05-8EFDE5F5DE63}"/>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8F803E21-224A-430B-ACBA-9D9BD4E63E43}"/>
    <cellStyle name="Normal 4 2 2 3 3 3 2 3" xfId="11505" xr:uid="{BE1EBAF8-C704-42AF-8816-853267834853}"/>
    <cellStyle name="Normal 4 2 2 3 3 3 3" xfId="5136" xr:uid="{00000000-0005-0000-0000-00005C120000}"/>
    <cellStyle name="Normal 4 2 2 3 3 3 3 2" xfId="13578" xr:uid="{4E84D4EF-B0D2-4F18-8A16-40FED213D97F}"/>
    <cellStyle name="Normal 4 2 2 3 3 3 4" xfId="9360" xr:uid="{1F59E2C4-549B-4828-BFA8-874B3A0DDB81}"/>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04ADF32D-3DD0-44B8-9C60-86F33538D37B}"/>
    <cellStyle name="Normal 4 2 2 3 3 4 2 3" xfId="11918" xr:uid="{BE1280CB-7FEF-4D3A-B2A2-CE9DC44AD0BE}"/>
    <cellStyle name="Normal 4 2 2 3 3 4 3" xfId="5549" xr:uid="{00000000-0005-0000-0000-000060120000}"/>
    <cellStyle name="Normal 4 2 2 3 3 4 3 2" xfId="13991" xr:uid="{BDB868FB-A368-412D-B123-43618E9238E3}"/>
    <cellStyle name="Normal 4 2 2 3 3 4 4" xfId="9773" xr:uid="{6829707B-5552-4F01-8813-A0927677FC82}"/>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895A086B-61CB-4A28-A252-5B0CCB830685}"/>
    <cellStyle name="Normal 4 2 2 3 3 5 2 3" xfId="12331" xr:uid="{6778ADFB-6B34-4A65-AA38-EB047EAC96BA}"/>
    <cellStyle name="Normal 4 2 2 3 3 5 3" xfId="5962" xr:uid="{00000000-0005-0000-0000-000064120000}"/>
    <cellStyle name="Normal 4 2 2 3 3 5 3 2" xfId="14404" xr:uid="{25492A55-FF36-4004-8927-ABF9DE0BA37F}"/>
    <cellStyle name="Normal 4 2 2 3 3 5 4" xfId="10186" xr:uid="{E51F51AE-044D-4B33-A0A7-75E02727D0C3}"/>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0E7F7923-F107-4968-BBCF-7E9FE2B41520}"/>
    <cellStyle name="Normal 4 2 2 3 3 6 2 3" xfId="12744" xr:uid="{0DFC7D5D-4798-4EE6-9172-13DEFDB78C88}"/>
    <cellStyle name="Normal 4 2 2 3 3 6 3" xfId="6375" xr:uid="{00000000-0005-0000-0000-000068120000}"/>
    <cellStyle name="Normal 4 2 2 3 3 6 3 2" xfId="14817" xr:uid="{665FA729-ECC5-4CBE-AD05-5201E1652684}"/>
    <cellStyle name="Normal 4 2 2 3 3 6 4" xfId="10599" xr:uid="{CFA436E6-772B-47EC-8FC3-434756C31DF6}"/>
    <cellStyle name="Normal 4 2 2 3 3 7" xfId="2504" xr:uid="{00000000-0005-0000-0000-000069120000}"/>
    <cellStyle name="Normal 4 2 2 3 3 7 2" xfId="6788" xr:uid="{00000000-0005-0000-0000-00006A120000}"/>
    <cellStyle name="Normal 4 2 2 3 3 7 2 2" xfId="15230" xr:uid="{592606D8-BF54-4A26-825F-3578AFFB0639}"/>
    <cellStyle name="Normal 4 2 2 3 3 7 3" xfId="11012" xr:uid="{C362E083-4830-4294-B1CC-E7E817030035}"/>
    <cellStyle name="Normal 4 2 2 3 3 8" xfId="4723" xr:uid="{00000000-0005-0000-0000-00006B120000}"/>
    <cellStyle name="Normal 4 2 2 3 3 8 2" xfId="13165" xr:uid="{1386AC85-F297-45BC-9A3E-2F84EBF0A434}"/>
    <cellStyle name="Normal 4 2 2 3 3 9" xfId="8947" xr:uid="{CE43B6D8-5915-464D-BE39-69A4093D42B5}"/>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C77BE086-DB11-4EEB-B264-AA137DD5AF9A}"/>
    <cellStyle name="Normal 4 2 2 3 4 2 2 3" xfId="11507" xr:uid="{F522A757-9FFC-493B-B9D7-65547103688A}"/>
    <cellStyle name="Normal 4 2 2 3 4 2 3" xfId="5138" xr:uid="{00000000-0005-0000-0000-000070120000}"/>
    <cellStyle name="Normal 4 2 2 3 4 2 3 2" xfId="13580" xr:uid="{1C302922-AC00-4C89-90DE-BB18ADBF74F3}"/>
    <cellStyle name="Normal 4 2 2 3 4 2 4" xfId="9362" xr:uid="{D3AC1F9B-D839-4349-B3AA-0AB09B57C053}"/>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FD374F11-2B45-4ECF-8C3D-F6F76F3483C8}"/>
    <cellStyle name="Normal 4 2 2 3 4 3 2 3" xfId="11920" xr:uid="{0BE0D283-9499-48F6-A9FD-FAAD86C5183A}"/>
    <cellStyle name="Normal 4 2 2 3 4 3 3" xfId="5551" xr:uid="{00000000-0005-0000-0000-000074120000}"/>
    <cellStyle name="Normal 4 2 2 3 4 3 3 2" xfId="13993" xr:uid="{0DDBCB90-0774-4A74-A955-473A3E3ACB31}"/>
    <cellStyle name="Normal 4 2 2 3 4 3 4" xfId="9775" xr:uid="{03676694-9290-4E88-8725-F1DC6D410D21}"/>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BFA9ADB2-A9B0-46FF-8428-9FA7B7D4DF4C}"/>
    <cellStyle name="Normal 4 2 2 3 4 4 2 3" xfId="12333" xr:uid="{6C94FD3C-45A8-4158-AFF8-69E8AEB4E493}"/>
    <cellStyle name="Normal 4 2 2 3 4 4 3" xfId="5964" xr:uid="{00000000-0005-0000-0000-000078120000}"/>
    <cellStyle name="Normal 4 2 2 3 4 4 3 2" xfId="14406" xr:uid="{14C90EC9-972C-4B28-B764-87C4210F93D3}"/>
    <cellStyle name="Normal 4 2 2 3 4 4 4" xfId="10188" xr:uid="{954B0F5D-C4F5-497C-A45B-6EED10687ED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39BA75F1-C0DD-448C-91D9-0A3B23798002}"/>
    <cellStyle name="Normal 4 2 2 3 4 5 2 3" xfId="12746" xr:uid="{A065556A-D63C-4080-8541-2B617B78187B}"/>
    <cellStyle name="Normal 4 2 2 3 4 5 3" xfId="6377" xr:uid="{00000000-0005-0000-0000-00007C120000}"/>
    <cellStyle name="Normal 4 2 2 3 4 5 3 2" xfId="14819" xr:uid="{C8AC7072-4443-49CE-8428-F3680F14A9FF}"/>
    <cellStyle name="Normal 4 2 2 3 4 5 4" xfId="10601" xr:uid="{A548FD15-3A83-436F-B383-E38FDF1116E8}"/>
    <cellStyle name="Normal 4 2 2 3 4 6" xfId="2506" xr:uid="{00000000-0005-0000-0000-00007D120000}"/>
    <cellStyle name="Normal 4 2 2 3 4 6 2" xfId="6790" xr:uid="{00000000-0005-0000-0000-00007E120000}"/>
    <cellStyle name="Normal 4 2 2 3 4 6 2 2" xfId="15232" xr:uid="{FF35BE5D-07A6-43AD-95AD-5BBA1C9B922D}"/>
    <cellStyle name="Normal 4 2 2 3 4 6 3" xfId="11014" xr:uid="{14C8E454-E3C0-4369-9474-E6C497A4683E}"/>
    <cellStyle name="Normal 4 2 2 3 4 7" xfId="4725" xr:uid="{00000000-0005-0000-0000-00007F120000}"/>
    <cellStyle name="Normal 4 2 2 3 4 7 2" xfId="13167" xr:uid="{ABD40693-3934-4F5C-852C-9610E6E3D970}"/>
    <cellStyle name="Normal 4 2 2 3 4 8" xfId="8949" xr:uid="{615CACE6-1DBB-4726-92CF-2694DC2A6B40}"/>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AE641F1C-342A-49AD-A64E-EDD9C0B1D9D4}"/>
    <cellStyle name="Normal 4 2 2 3 5 2 3" xfId="11500" xr:uid="{1FD82132-3F16-44F2-846F-842AB9462513}"/>
    <cellStyle name="Normal 4 2 2 3 5 3" xfId="5131" xr:uid="{00000000-0005-0000-0000-000083120000}"/>
    <cellStyle name="Normal 4 2 2 3 5 3 2" xfId="13573" xr:uid="{838FC645-C52E-4F52-AE3E-0BDDDA72DF22}"/>
    <cellStyle name="Normal 4 2 2 3 5 4" xfId="9355" xr:uid="{5A736E4F-E9D4-4C54-B1EE-024538D9036B}"/>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9819300F-0E3B-40AC-A387-05A22DC27479}"/>
    <cellStyle name="Normal 4 2 2 3 6 2 3" xfId="11913" xr:uid="{05DD237D-FC3C-46C7-8F09-BF3FA8CA92E9}"/>
    <cellStyle name="Normal 4 2 2 3 6 3" xfId="5544" xr:uid="{00000000-0005-0000-0000-000087120000}"/>
    <cellStyle name="Normal 4 2 2 3 6 3 2" xfId="13986" xr:uid="{9AFA8539-590E-4F96-9D65-FFCB72CD570E}"/>
    <cellStyle name="Normal 4 2 2 3 6 4" xfId="9768" xr:uid="{F6AE3CD6-59E3-4454-A62D-EA72A805D0B1}"/>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A04CADB1-5A06-4272-8278-38AEF9B028BD}"/>
    <cellStyle name="Normal 4 2 2 3 7 2 3" xfId="12326" xr:uid="{C6E956DD-1032-4CBF-8728-C6F8671A865F}"/>
    <cellStyle name="Normal 4 2 2 3 7 3" xfId="5957" xr:uid="{00000000-0005-0000-0000-00008B120000}"/>
    <cellStyle name="Normal 4 2 2 3 7 3 2" xfId="14399" xr:uid="{45E4D568-E79F-4B04-A6CA-B499A037D33E}"/>
    <cellStyle name="Normal 4 2 2 3 7 4" xfId="10181" xr:uid="{BFED2488-048A-4589-AC00-48050F5D904B}"/>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6BF8BE8D-897A-4616-96D0-6A3F4ACBA95E}"/>
    <cellStyle name="Normal 4 2 2 3 8 2 3" xfId="12739" xr:uid="{14A7AD59-C526-43A2-A476-108206CDEA7B}"/>
    <cellStyle name="Normal 4 2 2 3 8 3" xfId="6370" xr:uid="{00000000-0005-0000-0000-00008F120000}"/>
    <cellStyle name="Normal 4 2 2 3 8 3 2" xfId="14812" xr:uid="{B5DF6140-2645-4985-9F8D-EAD28AD86727}"/>
    <cellStyle name="Normal 4 2 2 3 8 4" xfId="10594" xr:uid="{3C3D2C94-C611-4D8F-AE77-54E52952E5C0}"/>
    <cellStyle name="Normal 4 2 2 3 9" xfId="2499" xr:uid="{00000000-0005-0000-0000-000090120000}"/>
    <cellStyle name="Normal 4 2 2 3 9 2" xfId="6783" xr:uid="{00000000-0005-0000-0000-000091120000}"/>
    <cellStyle name="Normal 4 2 2 3 9 2 2" xfId="15225" xr:uid="{983B48C7-3354-4B41-B991-467376493D18}"/>
    <cellStyle name="Normal 4 2 2 3 9 3" xfId="11007" xr:uid="{63D6AD9D-6E1A-45B1-8FB9-AFB1EB9C1001}"/>
    <cellStyle name="Normal 4 2 2 4" xfId="347" xr:uid="{00000000-0005-0000-0000-000092120000}"/>
    <cellStyle name="Normal 4 2 2 4 10" xfId="8950" xr:uid="{4BACE79B-01D9-428C-AD3E-117DF256D69E}"/>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D5D51195-8B2D-4724-A0AD-03C2E51BC620}"/>
    <cellStyle name="Normal 4 2 2 4 2 2 2 2 3" xfId="11510" xr:uid="{79725FF9-3FB9-4DE1-9440-E698C8697341}"/>
    <cellStyle name="Normal 4 2 2 4 2 2 2 3" xfId="5141" xr:uid="{00000000-0005-0000-0000-000098120000}"/>
    <cellStyle name="Normal 4 2 2 4 2 2 2 3 2" xfId="13583" xr:uid="{1C96F46B-BF55-4E6A-ADAB-1021AC32102B}"/>
    <cellStyle name="Normal 4 2 2 4 2 2 2 4" xfId="9365" xr:uid="{5D00B8C5-D0E0-4B0F-9FF8-C3E32A90C897}"/>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79A3EB1B-0748-4A3C-88FB-3832CBAE876D}"/>
    <cellStyle name="Normal 4 2 2 4 2 2 3 2 3" xfId="11923" xr:uid="{594284CA-6EC3-4431-A319-4B6CFD2E5911}"/>
    <cellStyle name="Normal 4 2 2 4 2 2 3 3" xfId="5554" xr:uid="{00000000-0005-0000-0000-00009C120000}"/>
    <cellStyle name="Normal 4 2 2 4 2 2 3 3 2" xfId="13996" xr:uid="{D59E38B4-FC36-459B-8EB5-C3B163898A4F}"/>
    <cellStyle name="Normal 4 2 2 4 2 2 3 4" xfId="9778" xr:uid="{115FE981-0C08-46A1-B7D9-F0D990CB67CE}"/>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E318729A-E4AD-4A26-9634-094FC6C165AD}"/>
    <cellStyle name="Normal 4 2 2 4 2 2 4 2 3" xfId="12336" xr:uid="{45D95ECF-55A5-45B3-B949-6CD0D75F2BC4}"/>
    <cellStyle name="Normal 4 2 2 4 2 2 4 3" xfId="5967" xr:uid="{00000000-0005-0000-0000-0000A0120000}"/>
    <cellStyle name="Normal 4 2 2 4 2 2 4 3 2" xfId="14409" xr:uid="{C6D5A8C4-BB8B-4E83-870B-66E8DF88CE56}"/>
    <cellStyle name="Normal 4 2 2 4 2 2 4 4" xfId="10191" xr:uid="{F580E35D-E5D1-4A1C-99E0-B995BF2265CA}"/>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17B03DF7-B2C3-4AAF-AD2E-7615C73C4D40}"/>
    <cellStyle name="Normal 4 2 2 4 2 2 5 2 3" xfId="12749" xr:uid="{CAA559EF-731A-4D92-B7E8-DD7E059759AA}"/>
    <cellStyle name="Normal 4 2 2 4 2 2 5 3" xfId="6380" xr:uid="{00000000-0005-0000-0000-0000A4120000}"/>
    <cellStyle name="Normal 4 2 2 4 2 2 5 3 2" xfId="14822" xr:uid="{88C7E71A-5C4C-4885-8C08-FE7873B28F68}"/>
    <cellStyle name="Normal 4 2 2 4 2 2 5 4" xfId="10604" xr:uid="{9F1B36C3-A09E-4FCB-8B2E-FA85C2E19624}"/>
    <cellStyle name="Normal 4 2 2 4 2 2 6" xfId="2509" xr:uid="{00000000-0005-0000-0000-0000A5120000}"/>
    <cellStyle name="Normal 4 2 2 4 2 2 6 2" xfId="6793" xr:uid="{00000000-0005-0000-0000-0000A6120000}"/>
    <cellStyle name="Normal 4 2 2 4 2 2 6 2 2" xfId="15235" xr:uid="{52A9DA0A-3A5A-4FA5-A697-DB3C9F2F580C}"/>
    <cellStyle name="Normal 4 2 2 4 2 2 6 3" xfId="11017" xr:uid="{4678DB18-BAFA-40BB-9A0D-18921931CBE1}"/>
    <cellStyle name="Normal 4 2 2 4 2 2 7" xfId="4728" xr:uid="{00000000-0005-0000-0000-0000A7120000}"/>
    <cellStyle name="Normal 4 2 2 4 2 2 7 2" xfId="13170" xr:uid="{DE2838E1-0E2A-437F-B36E-11D363787ACF}"/>
    <cellStyle name="Normal 4 2 2 4 2 2 8" xfId="8952" xr:uid="{42F1989E-4A29-4769-A799-FACA2757DC69}"/>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9655FF43-40E4-499A-91F2-D29BA5A15961}"/>
    <cellStyle name="Normal 4 2 2 4 2 3 2 3" xfId="11509" xr:uid="{6CC687C6-574E-485E-AE92-0E5EEEF36CA4}"/>
    <cellStyle name="Normal 4 2 2 4 2 3 3" xfId="5140" xr:uid="{00000000-0005-0000-0000-0000AB120000}"/>
    <cellStyle name="Normal 4 2 2 4 2 3 3 2" xfId="13582" xr:uid="{247EE663-BD22-4C2A-8211-F94B27ECD2D3}"/>
    <cellStyle name="Normal 4 2 2 4 2 3 4" xfId="9364" xr:uid="{64BB4942-F51E-47E2-9F55-7CC3A349EF0C}"/>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F346F3E2-0D48-4DC6-95F0-683EB440B2FC}"/>
    <cellStyle name="Normal 4 2 2 4 2 4 2 3" xfId="11922" xr:uid="{3E476798-96A5-4837-986A-75D2E99CED04}"/>
    <cellStyle name="Normal 4 2 2 4 2 4 3" xfId="5553" xr:uid="{00000000-0005-0000-0000-0000AF120000}"/>
    <cellStyle name="Normal 4 2 2 4 2 4 3 2" xfId="13995" xr:uid="{832A1BC4-C524-4B4A-BC65-B541191F2FB8}"/>
    <cellStyle name="Normal 4 2 2 4 2 4 4" xfId="9777" xr:uid="{ACC1247F-3519-4D65-8CC6-FA3DFB523C92}"/>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B9AE57C4-E975-4AD8-A736-C38A7AC94A55}"/>
    <cellStyle name="Normal 4 2 2 4 2 5 2 3" xfId="12335" xr:uid="{C5F92BA5-7FB5-446D-8CD0-511285F88063}"/>
    <cellStyle name="Normal 4 2 2 4 2 5 3" xfId="5966" xr:uid="{00000000-0005-0000-0000-0000B3120000}"/>
    <cellStyle name="Normal 4 2 2 4 2 5 3 2" xfId="14408" xr:uid="{80E1F163-32A9-45EE-B8FA-97673171CD21}"/>
    <cellStyle name="Normal 4 2 2 4 2 5 4" xfId="10190" xr:uid="{717AF85E-82DD-4174-B5B8-C22BEAE6BA1F}"/>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D9E34E0B-7D99-48E0-80B8-C558A91B5B94}"/>
    <cellStyle name="Normal 4 2 2 4 2 6 2 3" xfId="12748" xr:uid="{8E358114-D4B7-43A0-BC31-423F7BB088D8}"/>
    <cellStyle name="Normal 4 2 2 4 2 6 3" xfId="6379" xr:uid="{00000000-0005-0000-0000-0000B7120000}"/>
    <cellStyle name="Normal 4 2 2 4 2 6 3 2" xfId="14821" xr:uid="{4EE1C82C-014C-4B36-8123-F9DA5424408B}"/>
    <cellStyle name="Normal 4 2 2 4 2 6 4" xfId="10603" xr:uid="{D3E536C2-6C95-49BF-8073-98C6DF95FA32}"/>
    <cellStyle name="Normal 4 2 2 4 2 7" xfId="2508" xr:uid="{00000000-0005-0000-0000-0000B8120000}"/>
    <cellStyle name="Normal 4 2 2 4 2 7 2" xfId="6792" xr:uid="{00000000-0005-0000-0000-0000B9120000}"/>
    <cellStyle name="Normal 4 2 2 4 2 7 2 2" xfId="15234" xr:uid="{461462B4-8ED5-48C9-84D3-1AFA09FED194}"/>
    <cellStyle name="Normal 4 2 2 4 2 7 3" xfId="11016" xr:uid="{6142A9F3-7211-4BF4-82DF-9A9DEE007C97}"/>
    <cellStyle name="Normal 4 2 2 4 2 8" xfId="4727" xr:uid="{00000000-0005-0000-0000-0000BA120000}"/>
    <cellStyle name="Normal 4 2 2 4 2 8 2" xfId="13169" xr:uid="{4A99B3D4-FD91-4725-8299-6A3A639B33C0}"/>
    <cellStyle name="Normal 4 2 2 4 2 9" xfId="8951" xr:uid="{7F2B950E-C15E-496B-B0D4-B512238A91C9}"/>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D92D9007-11A8-4663-9194-734FB71221DE}"/>
    <cellStyle name="Normal 4 2 2 4 3 2 2 3" xfId="11511" xr:uid="{9E401BBE-0716-4649-8F96-A78EC66218B6}"/>
    <cellStyle name="Normal 4 2 2 4 3 2 3" xfId="5142" xr:uid="{00000000-0005-0000-0000-0000BF120000}"/>
    <cellStyle name="Normal 4 2 2 4 3 2 3 2" xfId="13584" xr:uid="{63588055-D8D8-49DE-8A30-ED1F154EAEC5}"/>
    <cellStyle name="Normal 4 2 2 4 3 2 4" xfId="9366" xr:uid="{7201BD67-4C0B-4533-84D4-DF159CC19019}"/>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F95335DC-0B1A-4623-B753-F2DC3E0E35D0}"/>
    <cellStyle name="Normal 4 2 2 4 3 3 2 3" xfId="11924" xr:uid="{D8A481CC-1002-4ACD-BE74-2AA1074206DE}"/>
    <cellStyle name="Normal 4 2 2 4 3 3 3" xfId="5555" xr:uid="{00000000-0005-0000-0000-0000C3120000}"/>
    <cellStyle name="Normal 4 2 2 4 3 3 3 2" xfId="13997" xr:uid="{389B29AC-67A6-4304-987F-06C6E302549F}"/>
    <cellStyle name="Normal 4 2 2 4 3 3 4" xfId="9779" xr:uid="{6437759F-2218-4B43-B4AF-F630F4CBE43C}"/>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BE8E1FB7-A540-45A7-AC86-41D00D13DAA6}"/>
    <cellStyle name="Normal 4 2 2 4 3 4 2 3" xfId="12337" xr:uid="{5F1B382A-AEB1-4348-B45C-5202AA3873A6}"/>
    <cellStyle name="Normal 4 2 2 4 3 4 3" xfId="5968" xr:uid="{00000000-0005-0000-0000-0000C7120000}"/>
    <cellStyle name="Normal 4 2 2 4 3 4 3 2" xfId="14410" xr:uid="{6D49C4E3-AF4E-40F1-9447-6845966AA4D1}"/>
    <cellStyle name="Normal 4 2 2 4 3 4 4" xfId="10192" xr:uid="{F350D05A-E87B-4AF0-83A5-077398924F1D}"/>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1058A8EC-62C6-4DFA-B113-53BBF1C3A381}"/>
    <cellStyle name="Normal 4 2 2 4 3 5 2 3" xfId="12750" xr:uid="{D352AFF2-11CB-41CF-9CBC-B4AD6092DABB}"/>
    <cellStyle name="Normal 4 2 2 4 3 5 3" xfId="6381" xr:uid="{00000000-0005-0000-0000-0000CB120000}"/>
    <cellStyle name="Normal 4 2 2 4 3 5 3 2" xfId="14823" xr:uid="{EB099502-0AE3-4787-A8BF-CA3FCD8743E0}"/>
    <cellStyle name="Normal 4 2 2 4 3 5 4" xfId="10605" xr:uid="{5AE6CC04-6F45-4DFE-A136-97BC1EFAD2A0}"/>
    <cellStyle name="Normal 4 2 2 4 3 6" xfId="2510" xr:uid="{00000000-0005-0000-0000-0000CC120000}"/>
    <cellStyle name="Normal 4 2 2 4 3 6 2" xfId="6794" xr:uid="{00000000-0005-0000-0000-0000CD120000}"/>
    <cellStyle name="Normal 4 2 2 4 3 6 2 2" xfId="15236" xr:uid="{B6B8E51B-1E5F-4C9D-9B07-F41DF3358950}"/>
    <cellStyle name="Normal 4 2 2 4 3 6 3" xfId="11018" xr:uid="{EC7A0483-ACC8-4401-995F-8DCB24BE03C1}"/>
    <cellStyle name="Normal 4 2 2 4 3 7" xfId="4729" xr:uid="{00000000-0005-0000-0000-0000CE120000}"/>
    <cellStyle name="Normal 4 2 2 4 3 7 2" xfId="13171" xr:uid="{82E41E56-7DD5-48DD-A4B4-7664B7E95D95}"/>
    <cellStyle name="Normal 4 2 2 4 3 8" xfId="8953" xr:uid="{9240BECE-E9A6-4F12-924C-EC58F6972F18}"/>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ECE721EA-281C-4CD9-A21A-75A77ED2D3B8}"/>
    <cellStyle name="Normal 4 2 2 4 4 2 3" xfId="11508" xr:uid="{54D97FFB-5208-4826-A9CE-C33ADD47EF29}"/>
    <cellStyle name="Normal 4 2 2 4 4 3" xfId="5139" xr:uid="{00000000-0005-0000-0000-0000D2120000}"/>
    <cellStyle name="Normal 4 2 2 4 4 3 2" xfId="13581" xr:uid="{5F8770C6-84D2-4A7A-B5D3-450407E2A4EF}"/>
    <cellStyle name="Normal 4 2 2 4 4 4" xfId="9363" xr:uid="{78691242-C197-4487-A938-2A6388051D90}"/>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564838F9-9956-407E-83F6-17C2E40CB1BD}"/>
    <cellStyle name="Normal 4 2 2 4 5 2 3" xfId="11921" xr:uid="{B255EA72-084B-4E0B-AD23-AFCD5AF9BB15}"/>
    <cellStyle name="Normal 4 2 2 4 5 3" xfId="5552" xr:uid="{00000000-0005-0000-0000-0000D6120000}"/>
    <cellStyle name="Normal 4 2 2 4 5 3 2" xfId="13994" xr:uid="{FDBBA13C-501A-4953-ADD1-0276E1125D58}"/>
    <cellStyle name="Normal 4 2 2 4 5 4" xfId="9776" xr:uid="{C84A1727-3395-4A18-AAF2-FA5BD7FDF5A0}"/>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6FF76846-CB06-4501-A5CA-E9C1BFFEC316}"/>
    <cellStyle name="Normal 4 2 2 4 6 2 3" xfId="12334" xr:uid="{F70C5D31-2882-4BE7-B907-23068D50248F}"/>
    <cellStyle name="Normal 4 2 2 4 6 3" xfId="5965" xr:uid="{00000000-0005-0000-0000-0000DA120000}"/>
    <cellStyle name="Normal 4 2 2 4 6 3 2" xfId="14407" xr:uid="{6C976F55-D702-4684-832A-AD10EB1D932C}"/>
    <cellStyle name="Normal 4 2 2 4 6 4" xfId="10189" xr:uid="{C06357D2-96B3-461D-B319-98C47768FED2}"/>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077A61A8-F32C-4AD2-8C6E-2FF707CD425B}"/>
    <cellStyle name="Normal 4 2 2 4 7 2 3" xfId="12747" xr:uid="{B82848E6-A23F-4670-9881-213277D29091}"/>
    <cellStyle name="Normal 4 2 2 4 7 3" xfId="6378" xr:uid="{00000000-0005-0000-0000-0000DE120000}"/>
    <cellStyle name="Normal 4 2 2 4 7 3 2" xfId="14820" xr:uid="{31FD2D4C-BD28-4A9C-AE83-D30EEA8F4E56}"/>
    <cellStyle name="Normal 4 2 2 4 7 4" xfId="10602" xr:uid="{7A59F464-CF5B-43CD-95C7-7594309E3619}"/>
    <cellStyle name="Normal 4 2 2 4 8" xfId="2507" xr:uid="{00000000-0005-0000-0000-0000DF120000}"/>
    <cellStyle name="Normal 4 2 2 4 8 2" xfId="6791" xr:uid="{00000000-0005-0000-0000-0000E0120000}"/>
    <cellStyle name="Normal 4 2 2 4 8 2 2" xfId="15233" xr:uid="{5FF8B246-59D4-40D4-94A6-2B22EC5697C4}"/>
    <cellStyle name="Normal 4 2 2 4 8 3" xfId="11015" xr:uid="{19DA04C8-5B1F-412E-82AD-7BACE9E7596B}"/>
    <cellStyle name="Normal 4 2 2 4 9" xfId="4726" xr:uid="{00000000-0005-0000-0000-0000E1120000}"/>
    <cellStyle name="Normal 4 2 2 4 9 2" xfId="13168" xr:uid="{9F363A7D-CE40-4FEA-A4B6-478FDDBD5DCE}"/>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BE3C337E-ACDA-47D1-8D35-167F58E43D3A}"/>
    <cellStyle name="Normal 4 2 2 5 2 2 2 3" xfId="11513" xr:uid="{B98FB5CD-3BF8-4936-86A6-1244F45B9835}"/>
    <cellStyle name="Normal 4 2 2 5 2 2 3" xfId="5144" xr:uid="{00000000-0005-0000-0000-0000E7120000}"/>
    <cellStyle name="Normal 4 2 2 5 2 2 3 2" xfId="13586" xr:uid="{3E788E35-3E84-4FA9-8433-EA999C68DA69}"/>
    <cellStyle name="Normal 4 2 2 5 2 2 4" xfId="9368" xr:uid="{CBAC2115-FD5A-446A-A941-0687735B0AD1}"/>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36111118-7C0C-4322-A198-37D58387B410}"/>
    <cellStyle name="Normal 4 2 2 5 2 3 2 3" xfId="11926" xr:uid="{509F0012-F700-44F5-B056-C41D70752579}"/>
    <cellStyle name="Normal 4 2 2 5 2 3 3" xfId="5557" xr:uid="{00000000-0005-0000-0000-0000EB120000}"/>
    <cellStyle name="Normal 4 2 2 5 2 3 3 2" xfId="13999" xr:uid="{D87B1260-9D3C-4589-9EF6-18CDCF8E5891}"/>
    <cellStyle name="Normal 4 2 2 5 2 3 4" xfId="9781" xr:uid="{A9AD8A80-0015-4E48-8B83-FE35E6694A81}"/>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AFDAF0F2-7DF8-4523-AB71-93726A5D7C97}"/>
    <cellStyle name="Normal 4 2 2 5 2 4 2 3" xfId="12339" xr:uid="{799CFF43-CEDE-4B93-ABEB-08D5A2925058}"/>
    <cellStyle name="Normal 4 2 2 5 2 4 3" xfId="5970" xr:uid="{00000000-0005-0000-0000-0000EF120000}"/>
    <cellStyle name="Normal 4 2 2 5 2 4 3 2" xfId="14412" xr:uid="{CD637B0F-7A23-47D8-BB84-339EEA5A57F5}"/>
    <cellStyle name="Normal 4 2 2 5 2 4 4" xfId="10194" xr:uid="{18E9FF99-6A05-483C-BA95-27CAA542B39E}"/>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994C4BEF-1027-434E-BFDF-3958D5E67A8A}"/>
    <cellStyle name="Normal 4 2 2 5 2 5 2 3" xfId="12752" xr:uid="{58EEBBE4-9095-47D6-BB64-A79FDB0054CC}"/>
    <cellStyle name="Normal 4 2 2 5 2 5 3" xfId="6383" xr:uid="{00000000-0005-0000-0000-0000F3120000}"/>
    <cellStyle name="Normal 4 2 2 5 2 5 3 2" xfId="14825" xr:uid="{BC467E0A-4E7E-4716-AB08-7B3BA29E3A94}"/>
    <cellStyle name="Normal 4 2 2 5 2 5 4" xfId="10607" xr:uid="{BA39FC68-727E-4F3C-BB96-78D1F1A32A96}"/>
    <cellStyle name="Normal 4 2 2 5 2 6" xfId="2512" xr:uid="{00000000-0005-0000-0000-0000F4120000}"/>
    <cellStyle name="Normal 4 2 2 5 2 6 2" xfId="6796" xr:uid="{00000000-0005-0000-0000-0000F5120000}"/>
    <cellStyle name="Normal 4 2 2 5 2 6 2 2" xfId="15238" xr:uid="{EBD1F55C-8650-4A1F-80E4-C0EF9AAA0B9F}"/>
    <cellStyle name="Normal 4 2 2 5 2 6 3" xfId="11020" xr:uid="{062C8685-281A-4FBE-AABF-7A21FC804A2F}"/>
    <cellStyle name="Normal 4 2 2 5 2 7" xfId="4731" xr:uid="{00000000-0005-0000-0000-0000F6120000}"/>
    <cellStyle name="Normal 4 2 2 5 2 7 2" xfId="13173" xr:uid="{2CE92367-D7FF-4D85-9595-DB1D46EA36CD}"/>
    <cellStyle name="Normal 4 2 2 5 2 8" xfId="8955" xr:uid="{FC221C61-4C3D-4035-AE05-E945E88BA998}"/>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CDAAE536-523B-4A67-941A-3A1B2FB11F56}"/>
    <cellStyle name="Normal 4 2 2 5 3 2 3" xfId="11512" xr:uid="{13F5BD68-4782-4F2C-AE35-1CEEDC33BC82}"/>
    <cellStyle name="Normal 4 2 2 5 3 3" xfId="5143" xr:uid="{00000000-0005-0000-0000-0000FA120000}"/>
    <cellStyle name="Normal 4 2 2 5 3 3 2" xfId="13585" xr:uid="{B2477884-F277-4DCA-A6CD-385011FF7737}"/>
    <cellStyle name="Normal 4 2 2 5 3 4" xfId="9367" xr:uid="{B4C18920-2A17-4396-9707-86811A3408C0}"/>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979EAA41-9514-4CE6-9BDB-BADB6AD9A9FB}"/>
    <cellStyle name="Normal 4 2 2 5 4 2 3" xfId="11925" xr:uid="{14291FCB-124D-4DC7-8100-4BB6BB42B9C2}"/>
    <cellStyle name="Normal 4 2 2 5 4 3" xfId="5556" xr:uid="{00000000-0005-0000-0000-0000FE120000}"/>
    <cellStyle name="Normal 4 2 2 5 4 3 2" xfId="13998" xr:uid="{02CCB47F-1B7C-4D6A-9DAD-97CBBACBCFA6}"/>
    <cellStyle name="Normal 4 2 2 5 4 4" xfId="9780" xr:uid="{55F74C89-CBD7-456E-9B88-437375CFFD1D}"/>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D8830C34-0E79-40A1-A813-C4E7AC90D6AF}"/>
    <cellStyle name="Normal 4 2 2 5 5 2 3" xfId="12338" xr:uid="{8EA020F4-9E78-422F-8CAD-CC848FCFDD63}"/>
    <cellStyle name="Normal 4 2 2 5 5 3" xfId="5969" xr:uid="{00000000-0005-0000-0000-000002130000}"/>
    <cellStyle name="Normal 4 2 2 5 5 3 2" xfId="14411" xr:uid="{4428A4D4-AD34-40D4-A271-8F723F82474A}"/>
    <cellStyle name="Normal 4 2 2 5 5 4" xfId="10193" xr:uid="{77173D2A-4F9D-46AB-8E6D-C89ABE290E69}"/>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34F0A5B3-E2CC-4150-B07F-698B16EB4472}"/>
    <cellStyle name="Normal 4 2 2 5 6 2 3" xfId="12751" xr:uid="{6A664155-5244-4F22-8C87-EFC9221A8748}"/>
    <cellStyle name="Normal 4 2 2 5 6 3" xfId="6382" xr:uid="{00000000-0005-0000-0000-000006130000}"/>
    <cellStyle name="Normal 4 2 2 5 6 3 2" xfId="14824" xr:uid="{7DE68341-9882-4308-8A63-93FE4F834E8A}"/>
    <cellStyle name="Normal 4 2 2 5 6 4" xfId="10606" xr:uid="{C5286EFC-B4E9-4851-BAC0-64023C525B89}"/>
    <cellStyle name="Normal 4 2 2 5 7" xfId="2511" xr:uid="{00000000-0005-0000-0000-000007130000}"/>
    <cellStyle name="Normal 4 2 2 5 7 2" xfId="6795" xr:uid="{00000000-0005-0000-0000-000008130000}"/>
    <cellStyle name="Normal 4 2 2 5 7 2 2" xfId="15237" xr:uid="{091E7EAB-6CD0-42AF-9E1E-2845DE1B27AA}"/>
    <cellStyle name="Normal 4 2 2 5 7 3" xfId="11019" xr:uid="{89FDB7F7-ACE1-4A67-BC64-CB6D54D16219}"/>
    <cellStyle name="Normal 4 2 2 5 8" xfId="4730" xr:uid="{00000000-0005-0000-0000-000009130000}"/>
    <cellStyle name="Normal 4 2 2 5 8 2" xfId="13172" xr:uid="{C8371EA9-73DC-421A-BE49-B87F478252CB}"/>
    <cellStyle name="Normal 4 2 2 5 9" xfId="8954" xr:uid="{7566EFB4-E582-4C38-8C5D-629F23EBFBC4}"/>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E74E745F-00EA-4701-8BD7-49B75A0A999D}"/>
    <cellStyle name="Normal 4 2 2 6 2 2 3" xfId="11514" xr:uid="{1CFE8A8C-71BA-4045-8F4B-77891374C60C}"/>
    <cellStyle name="Normal 4 2 2 6 2 3" xfId="5145" xr:uid="{00000000-0005-0000-0000-00000E130000}"/>
    <cellStyle name="Normal 4 2 2 6 2 3 2" xfId="13587" xr:uid="{7439ED71-477C-4684-9CDE-A2E99B3D804C}"/>
    <cellStyle name="Normal 4 2 2 6 2 4" xfId="9369" xr:uid="{BD35FD08-9699-4D97-B780-14D808603B0C}"/>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E5823E55-E398-45B4-9B79-A8470EACEB79}"/>
    <cellStyle name="Normal 4 2 2 6 3 2 3" xfId="11927" xr:uid="{C67A5B24-5BF2-4C16-BCB9-FF577D5D2B41}"/>
    <cellStyle name="Normal 4 2 2 6 3 3" xfId="5558" xr:uid="{00000000-0005-0000-0000-000012130000}"/>
    <cellStyle name="Normal 4 2 2 6 3 3 2" xfId="14000" xr:uid="{079F53B9-6E14-4C48-BF4C-B6173FFC1717}"/>
    <cellStyle name="Normal 4 2 2 6 3 4" xfId="9782" xr:uid="{15191758-FE12-4DB6-BFD2-330CB50ACCCE}"/>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85693DEA-74CE-4088-B267-0D9263E6D247}"/>
    <cellStyle name="Normal 4 2 2 6 4 2 3" xfId="12340" xr:uid="{DC6C5464-5347-4C3E-92F6-F93B6C913FCF}"/>
    <cellStyle name="Normal 4 2 2 6 4 3" xfId="5971" xr:uid="{00000000-0005-0000-0000-000016130000}"/>
    <cellStyle name="Normal 4 2 2 6 4 3 2" xfId="14413" xr:uid="{7CF4517F-76C4-4EC6-881F-41B09B16C58F}"/>
    <cellStyle name="Normal 4 2 2 6 4 4" xfId="10195" xr:uid="{CD9D790F-4938-49D4-AD5F-4B6B8999B123}"/>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DCE27AB2-9A08-41D1-BA2C-B0831DF23334}"/>
    <cellStyle name="Normal 4 2 2 6 5 2 3" xfId="12753" xr:uid="{9F98DF3A-8EC4-409A-BC77-6BABA05FA470}"/>
    <cellStyle name="Normal 4 2 2 6 5 3" xfId="6384" xr:uid="{00000000-0005-0000-0000-00001A130000}"/>
    <cellStyle name="Normal 4 2 2 6 5 3 2" xfId="14826" xr:uid="{33D349C2-EFB3-44D5-9FD5-B9412FF14331}"/>
    <cellStyle name="Normal 4 2 2 6 5 4" xfId="10608" xr:uid="{4DC49001-B8E4-4487-B392-7BF451F760E4}"/>
    <cellStyle name="Normal 4 2 2 6 6" xfId="2513" xr:uid="{00000000-0005-0000-0000-00001B130000}"/>
    <cellStyle name="Normal 4 2 2 6 6 2" xfId="6797" xr:uid="{00000000-0005-0000-0000-00001C130000}"/>
    <cellStyle name="Normal 4 2 2 6 6 2 2" xfId="15239" xr:uid="{3F7EAD9A-37BE-4F65-91EB-1CB97E2DB0E9}"/>
    <cellStyle name="Normal 4 2 2 6 6 3" xfId="11021" xr:uid="{AB16CD98-870D-4A72-8EB8-43CE158565FE}"/>
    <cellStyle name="Normal 4 2 2 6 7" xfId="4732" xr:uid="{00000000-0005-0000-0000-00001D130000}"/>
    <cellStyle name="Normal 4 2 2 6 7 2" xfId="13174" xr:uid="{89716E71-C355-4D69-B550-D9DF4A56F9E5}"/>
    <cellStyle name="Normal 4 2 2 6 8" xfId="8956" xr:uid="{1D8DD684-A994-4BEE-911C-2736344FF2CD}"/>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E233C079-A2CD-46A2-B1A1-67BFD2BF8C8E}"/>
    <cellStyle name="Normal 4 2 2 7 2 3" xfId="11499" xr:uid="{9500CD67-817F-4950-A7C4-73E0942367C2}"/>
    <cellStyle name="Normal 4 2 2 7 3" xfId="5130" xr:uid="{00000000-0005-0000-0000-000021130000}"/>
    <cellStyle name="Normal 4 2 2 7 3 2" xfId="13572" xr:uid="{A1ABCDDC-8325-4AB0-A413-7E00AEFE139C}"/>
    <cellStyle name="Normal 4 2 2 7 4" xfId="9354" xr:uid="{2109D7F2-ED5B-470F-B017-35123BFF955C}"/>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63E97702-6C51-460D-BA80-43EC7EBA11FF}"/>
    <cellStyle name="Normal 4 2 2 8 2 3" xfId="11912" xr:uid="{2D4BA187-5B55-4C35-A523-7CE06349974C}"/>
    <cellStyle name="Normal 4 2 2 8 3" xfId="5543" xr:uid="{00000000-0005-0000-0000-000025130000}"/>
    <cellStyle name="Normal 4 2 2 8 3 2" xfId="13985" xr:uid="{404355D1-459F-46A0-9735-3DAF41AF4771}"/>
    <cellStyle name="Normal 4 2 2 8 4" xfId="9767" xr:uid="{26868AA8-3A75-4D47-A956-76B0E248CF3A}"/>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9A6D37FD-94B3-4C1C-81D7-4263FA77C2BB}"/>
    <cellStyle name="Normal 4 2 2 9 2 3" xfId="12325" xr:uid="{51154199-B31F-41CD-A64E-D039E32E2CDD}"/>
    <cellStyle name="Normal 4 2 2 9 3" xfId="5956" xr:uid="{00000000-0005-0000-0000-000029130000}"/>
    <cellStyle name="Normal 4 2 2 9 3 2" xfId="14398" xr:uid="{133F23EA-7030-431C-895B-4ABBFAD8AE74}"/>
    <cellStyle name="Normal 4 2 2 9 4" xfId="10180" xr:uid="{2CEE0DE9-99A7-4D8B-BB48-0D6A6FDE63CC}"/>
    <cellStyle name="Normal 4 2 3" xfId="354" xr:uid="{00000000-0005-0000-0000-00002A130000}"/>
    <cellStyle name="Normal 4 2 4" xfId="355" xr:uid="{00000000-0005-0000-0000-00002B130000}"/>
    <cellStyle name="Normal 4 2 4 10" xfId="4733" xr:uid="{00000000-0005-0000-0000-00002C130000}"/>
    <cellStyle name="Normal 4 2 4 10 2" xfId="13175" xr:uid="{3361CDB2-D821-4BE7-A065-CAD1878E5C38}"/>
    <cellStyle name="Normal 4 2 4 11" xfId="8957" xr:uid="{632DF06D-5A49-4D12-A364-562CECDE9155}"/>
    <cellStyle name="Normal 4 2 4 2" xfId="356" xr:uid="{00000000-0005-0000-0000-00002D130000}"/>
    <cellStyle name="Normal 4 2 4 2 10" xfId="8958" xr:uid="{DED852D4-0E6E-4561-BABD-C9E8252B5A9D}"/>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1C0FC937-395C-4E2E-BC6B-5D389F91C580}"/>
    <cellStyle name="Normal 4 2 4 2 2 2 2 2 3" xfId="11518" xr:uid="{9817304D-0B48-40E4-A867-B172FEE4FFDB}"/>
    <cellStyle name="Normal 4 2 4 2 2 2 2 3" xfId="5149" xr:uid="{00000000-0005-0000-0000-000033130000}"/>
    <cellStyle name="Normal 4 2 4 2 2 2 2 3 2" xfId="13591" xr:uid="{59AD6E6C-973F-440C-8ABD-2F9228FC6C2B}"/>
    <cellStyle name="Normal 4 2 4 2 2 2 2 4" xfId="9373" xr:uid="{2914ABC5-4462-47D6-8957-9EAB73B4E084}"/>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6A4AA536-846B-4C5D-BF6A-F78D7B748BBE}"/>
    <cellStyle name="Normal 4 2 4 2 2 2 3 2 3" xfId="11931" xr:uid="{A70F37CF-97D9-4026-9345-7BB8970C4E53}"/>
    <cellStyle name="Normal 4 2 4 2 2 2 3 3" xfId="5562" xr:uid="{00000000-0005-0000-0000-000037130000}"/>
    <cellStyle name="Normal 4 2 4 2 2 2 3 3 2" xfId="14004" xr:uid="{498144BB-D90F-4082-8928-B98E5D655BF1}"/>
    <cellStyle name="Normal 4 2 4 2 2 2 3 4" xfId="9786" xr:uid="{01B6973E-F2A2-4C40-B58F-0971DB159307}"/>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14207E46-B5C6-4C54-9055-8ECDDF71F865}"/>
    <cellStyle name="Normal 4 2 4 2 2 2 4 2 3" xfId="12344" xr:uid="{F6BB6880-BD70-426A-83D0-958423DAC773}"/>
    <cellStyle name="Normal 4 2 4 2 2 2 4 3" xfId="5975" xr:uid="{00000000-0005-0000-0000-00003B130000}"/>
    <cellStyle name="Normal 4 2 4 2 2 2 4 3 2" xfId="14417" xr:uid="{8C79C7B2-67D9-47AE-8090-09D6C938258F}"/>
    <cellStyle name="Normal 4 2 4 2 2 2 4 4" xfId="10199" xr:uid="{BD68C3B8-27BB-4233-AE92-13281B36766F}"/>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EE512311-DE21-4586-9ADB-3C5864CB3DBA}"/>
    <cellStyle name="Normal 4 2 4 2 2 2 5 2 3" xfId="12757" xr:uid="{F447F103-C9B6-483D-B25B-E807C7F698EE}"/>
    <cellStyle name="Normal 4 2 4 2 2 2 5 3" xfId="6388" xr:uid="{00000000-0005-0000-0000-00003F130000}"/>
    <cellStyle name="Normal 4 2 4 2 2 2 5 3 2" xfId="14830" xr:uid="{0B817467-E36F-4BBE-B759-000B0CCE87E4}"/>
    <cellStyle name="Normal 4 2 4 2 2 2 5 4" xfId="10612" xr:uid="{107270FE-B1EE-4575-A02E-015BA4511B53}"/>
    <cellStyle name="Normal 4 2 4 2 2 2 6" xfId="2517" xr:uid="{00000000-0005-0000-0000-000040130000}"/>
    <cellStyle name="Normal 4 2 4 2 2 2 6 2" xfId="6801" xr:uid="{00000000-0005-0000-0000-000041130000}"/>
    <cellStyle name="Normal 4 2 4 2 2 2 6 2 2" xfId="15243" xr:uid="{ACDD71ED-6C5F-474D-9C67-4018BA413C89}"/>
    <cellStyle name="Normal 4 2 4 2 2 2 6 3" xfId="11025" xr:uid="{42F38000-F306-480E-BAF0-D269784E79D6}"/>
    <cellStyle name="Normal 4 2 4 2 2 2 7" xfId="4736" xr:uid="{00000000-0005-0000-0000-000042130000}"/>
    <cellStyle name="Normal 4 2 4 2 2 2 7 2" xfId="13178" xr:uid="{E5C0F44A-D6FD-492B-ADEE-236CAEDF13E1}"/>
    <cellStyle name="Normal 4 2 4 2 2 2 8" xfId="8960" xr:uid="{89B4A46E-83F5-41B2-BF8C-EEF05AC901E7}"/>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10EF2337-B128-478E-960E-01B1DBD0314B}"/>
    <cellStyle name="Normal 4 2 4 2 2 3 2 3" xfId="11517" xr:uid="{2F3542F5-2434-426F-BC56-53000C3D99E4}"/>
    <cellStyle name="Normal 4 2 4 2 2 3 3" xfId="5148" xr:uid="{00000000-0005-0000-0000-000046130000}"/>
    <cellStyle name="Normal 4 2 4 2 2 3 3 2" xfId="13590" xr:uid="{2C51877F-B60C-49B2-AAB0-CDD5939B0686}"/>
    <cellStyle name="Normal 4 2 4 2 2 3 4" xfId="9372" xr:uid="{FB489776-3481-46D7-A55C-EB155121C81E}"/>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164EF391-2F19-4B49-9D1C-910039259518}"/>
    <cellStyle name="Normal 4 2 4 2 2 4 2 3" xfId="11930" xr:uid="{E077292A-0BE3-44B8-8DCC-01F9CA18D94C}"/>
    <cellStyle name="Normal 4 2 4 2 2 4 3" xfId="5561" xr:uid="{00000000-0005-0000-0000-00004A130000}"/>
    <cellStyle name="Normal 4 2 4 2 2 4 3 2" xfId="14003" xr:uid="{24DED40F-01B5-4604-8F61-0081F9C97D0F}"/>
    <cellStyle name="Normal 4 2 4 2 2 4 4" xfId="9785" xr:uid="{C638017C-C6FA-4687-A58A-53DCC621DDCC}"/>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EF7E09CD-C00E-4C85-A153-2D3FF33F4DC0}"/>
    <cellStyle name="Normal 4 2 4 2 2 5 2 3" xfId="12343" xr:uid="{A8471E6A-52BD-48E9-A233-C37C603411E7}"/>
    <cellStyle name="Normal 4 2 4 2 2 5 3" xfId="5974" xr:uid="{00000000-0005-0000-0000-00004E130000}"/>
    <cellStyle name="Normal 4 2 4 2 2 5 3 2" xfId="14416" xr:uid="{3CDE4498-139B-48EB-B439-A02B936C9E06}"/>
    <cellStyle name="Normal 4 2 4 2 2 5 4" xfId="10198" xr:uid="{8DA3E49C-61DC-41EC-95BF-1C1372537A78}"/>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0D51D0ED-A258-4229-AC55-943BEAE334F9}"/>
    <cellStyle name="Normal 4 2 4 2 2 6 2 3" xfId="12756" xr:uid="{FCA68CA4-E3B7-4422-A98A-8485E38A2D59}"/>
    <cellStyle name="Normal 4 2 4 2 2 6 3" xfId="6387" xr:uid="{00000000-0005-0000-0000-000052130000}"/>
    <cellStyle name="Normal 4 2 4 2 2 6 3 2" xfId="14829" xr:uid="{8C2EE35F-3B48-47B8-8926-9C3602497F70}"/>
    <cellStyle name="Normal 4 2 4 2 2 6 4" xfId="10611" xr:uid="{91F447B1-05D9-4729-806B-BFB20BD35A84}"/>
    <cellStyle name="Normal 4 2 4 2 2 7" xfId="2516" xr:uid="{00000000-0005-0000-0000-000053130000}"/>
    <cellStyle name="Normal 4 2 4 2 2 7 2" xfId="6800" xr:uid="{00000000-0005-0000-0000-000054130000}"/>
    <cellStyle name="Normal 4 2 4 2 2 7 2 2" xfId="15242" xr:uid="{12F92155-92AF-494C-A36B-64998A3E38E5}"/>
    <cellStyle name="Normal 4 2 4 2 2 7 3" xfId="11024" xr:uid="{9C15616F-5856-4347-A995-7CA2C9F87635}"/>
    <cellStyle name="Normal 4 2 4 2 2 8" xfId="4735" xr:uid="{00000000-0005-0000-0000-000055130000}"/>
    <cellStyle name="Normal 4 2 4 2 2 8 2" xfId="13177" xr:uid="{A1813C94-D9FA-4D41-B101-B74A504603C6}"/>
    <cellStyle name="Normal 4 2 4 2 2 9" xfId="8959" xr:uid="{26473183-CB20-4CBE-8DF3-7144C81B8CD8}"/>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15814862-9542-40B7-A7D5-EDD5973C64DD}"/>
    <cellStyle name="Normal 4 2 4 2 3 2 2 3" xfId="11519" xr:uid="{58D9356D-81BB-4937-AF5F-624CF676468D}"/>
    <cellStyle name="Normal 4 2 4 2 3 2 3" xfId="5150" xr:uid="{00000000-0005-0000-0000-00005A130000}"/>
    <cellStyle name="Normal 4 2 4 2 3 2 3 2" xfId="13592" xr:uid="{64393FA9-BD64-49C2-A8F2-EDA2E8A70A62}"/>
    <cellStyle name="Normal 4 2 4 2 3 2 4" xfId="9374" xr:uid="{809E17DF-B797-4025-BBEC-DF219576A536}"/>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C10185C0-015F-42FE-9144-56CB8713C4C1}"/>
    <cellStyle name="Normal 4 2 4 2 3 3 2 3" xfId="11932" xr:uid="{518CEC18-60C6-4F9E-BBAC-156857EEC073}"/>
    <cellStyle name="Normal 4 2 4 2 3 3 3" xfId="5563" xr:uid="{00000000-0005-0000-0000-00005E130000}"/>
    <cellStyle name="Normal 4 2 4 2 3 3 3 2" xfId="14005" xr:uid="{E40EE9DC-3B6F-4F85-B830-F1EE4BAE3C1B}"/>
    <cellStyle name="Normal 4 2 4 2 3 3 4" xfId="9787" xr:uid="{F631A03E-EB71-4B73-A4FB-77EE62F26F95}"/>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2CB6338D-D53C-48E1-8E99-8DA80D7E4182}"/>
    <cellStyle name="Normal 4 2 4 2 3 4 2 3" xfId="12345" xr:uid="{586B8065-32F0-429B-A2B4-B57146D03CFD}"/>
    <cellStyle name="Normal 4 2 4 2 3 4 3" xfId="5976" xr:uid="{00000000-0005-0000-0000-000062130000}"/>
    <cellStyle name="Normal 4 2 4 2 3 4 3 2" xfId="14418" xr:uid="{0B474FAA-27AE-4EA5-965A-783FBC1BA3C4}"/>
    <cellStyle name="Normal 4 2 4 2 3 4 4" xfId="10200" xr:uid="{A007132F-F999-492C-90EC-F8FC0A545C95}"/>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8BC5FC24-4391-438E-AD2E-8A2380705D26}"/>
    <cellStyle name="Normal 4 2 4 2 3 5 2 3" xfId="12758" xr:uid="{BDF298D2-1B97-4FD4-8B0C-7E2AE479F50C}"/>
    <cellStyle name="Normal 4 2 4 2 3 5 3" xfId="6389" xr:uid="{00000000-0005-0000-0000-000066130000}"/>
    <cellStyle name="Normal 4 2 4 2 3 5 3 2" xfId="14831" xr:uid="{00F5E7A6-5037-4883-9D21-FCEFEF7DF234}"/>
    <cellStyle name="Normal 4 2 4 2 3 5 4" xfId="10613" xr:uid="{281BFE78-470E-4C16-9E22-3F00975BFF00}"/>
    <cellStyle name="Normal 4 2 4 2 3 6" xfId="2518" xr:uid="{00000000-0005-0000-0000-000067130000}"/>
    <cellStyle name="Normal 4 2 4 2 3 6 2" xfId="6802" xr:uid="{00000000-0005-0000-0000-000068130000}"/>
    <cellStyle name="Normal 4 2 4 2 3 6 2 2" xfId="15244" xr:uid="{BF432527-5B57-41EB-9074-324E4503FD8C}"/>
    <cellStyle name="Normal 4 2 4 2 3 6 3" xfId="11026" xr:uid="{69620AB0-5BC5-41AF-89D1-FAF823A79744}"/>
    <cellStyle name="Normal 4 2 4 2 3 7" xfId="4737" xr:uid="{00000000-0005-0000-0000-000069130000}"/>
    <cellStyle name="Normal 4 2 4 2 3 7 2" xfId="13179" xr:uid="{E2354CE4-374F-486F-97B4-1313A9B05010}"/>
    <cellStyle name="Normal 4 2 4 2 3 8" xfId="8961" xr:uid="{742491FF-322E-4B1A-8E19-996711F7737D}"/>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77DB19A0-7FAF-4CC5-A114-4C45F03490A2}"/>
    <cellStyle name="Normal 4 2 4 2 4 2 3" xfId="11516" xr:uid="{849CD097-0203-4535-A349-2DED05230FD1}"/>
    <cellStyle name="Normal 4 2 4 2 4 3" xfId="5147" xr:uid="{00000000-0005-0000-0000-00006D130000}"/>
    <cellStyle name="Normal 4 2 4 2 4 3 2" xfId="13589" xr:uid="{12D45B98-2699-4EF9-82DF-8437FD32FCFC}"/>
    <cellStyle name="Normal 4 2 4 2 4 4" xfId="9371" xr:uid="{7C95D31F-2CE7-4FDF-80A6-70A04E2D2B02}"/>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650D9F63-FF1B-465F-BE54-7460E99CEDFE}"/>
    <cellStyle name="Normal 4 2 4 2 5 2 3" xfId="11929" xr:uid="{D0DEF170-8D88-49B5-AD07-3B051F0E9010}"/>
    <cellStyle name="Normal 4 2 4 2 5 3" xfId="5560" xr:uid="{00000000-0005-0000-0000-000071130000}"/>
    <cellStyle name="Normal 4 2 4 2 5 3 2" xfId="14002" xr:uid="{ABFCAB6C-0A70-4AA4-A2D4-08ED596417B3}"/>
    <cellStyle name="Normal 4 2 4 2 5 4" xfId="9784" xr:uid="{E9C6BB6B-8610-4D80-BD02-B8C9BBE2EA22}"/>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FDDBBFE6-539D-4C5E-91AF-20D139BF8BAF}"/>
    <cellStyle name="Normal 4 2 4 2 6 2 3" xfId="12342" xr:uid="{C628EC82-E1B4-45FC-9B4E-79EAB0496A61}"/>
    <cellStyle name="Normal 4 2 4 2 6 3" xfId="5973" xr:uid="{00000000-0005-0000-0000-000075130000}"/>
    <cellStyle name="Normal 4 2 4 2 6 3 2" xfId="14415" xr:uid="{45455DF8-BBE8-400A-80A3-5ECC48865886}"/>
    <cellStyle name="Normal 4 2 4 2 6 4" xfId="10197" xr:uid="{AF814A87-170C-40AC-A4D1-7C58809E854E}"/>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D9D90669-6B34-44F3-8149-0623A2910E16}"/>
    <cellStyle name="Normal 4 2 4 2 7 2 3" xfId="12755" xr:uid="{FA5A7F26-D082-423B-9F9F-1654F9C9F77E}"/>
    <cellStyle name="Normal 4 2 4 2 7 3" xfId="6386" xr:uid="{00000000-0005-0000-0000-000079130000}"/>
    <cellStyle name="Normal 4 2 4 2 7 3 2" xfId="14828" xr:uid="{C20F8B72-8AA5-4C6D-A53D-96C5AC662B8B}"/>
    <cellStyle name="Normal 4 2 4 2 7 4" xfId="10610" xr:uid="{91122F69-F120-4214-B821-2B7575F05DAE}"/>
    <cellStyle name="Normal 4 2 4 2 8" xfId="2515" xr:uid="{00000000-0005-0000-0000-00007A130000}"/>
    <cellStyle name="Normal 4 2 4 2 8 2" xfId="6799" xr:uid="{00000000-0005-0000-0000-00007B130000}"/>
    <cellStyle name="Normal 4 2 4 2 8 2 2" xfId="15241" xr:uid="{F9F09C7B-CC0C-4730-B311-D58721BCC98A}"/>
    <cellStyle name="Normal 4 2 4 2 8 3" xfId="11023" xr:uid="{E101FD53-A629-44EF-BA7D-A4BAAEC471E2}"/>
    <cellStyle name="Normal 4 2 4 2 9" xfId="4734" xr:uid="{00000000-0005-0000-0000-00007C130000}"/>
    <cellStyle name="Normal 4 2 4 2 9 2" xfId="13176" xr:uid="{81248656-858F-4ACC-B282-19A9CECC1A0E}"/>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539BFECF-8AFC-4758-8AE3-DB2FABB3CD12}"/>
    <cellStyle name="Normal 4 2 4 3 2 2 2 3" xfId="11521" xr:uid="{D59BC476-37B9-4967-9187-B6B56886B23B}"/>
    <cellStyle name="Normal 4 2 4 3 2 2 3" xfId="5152" xr:uid="{00000000-0005-0000-0000-000082130000}"/>
    <cellStyle name="Normal 4 2 4 3 2 2 3 2" xfId="13594" xr:uid="{8155B387-AB80-4E04-A4D8-1ADB85DB2282}"/>
    <cellStyle name="Normal 4 2 4 3 2 2 4" xfId="9376" xr:uid="{4EA4B6D7-F8F2-429A-9DA0-FBE9EA664FD9}"/>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86B05970-3B96-4DFF-B532-CF916C43015F}"/>
    <cellStyle name="Normal 4 2 4 3 2 3 2 3" xfId="11934" xr:uid="{A6B20793-880A-48C0-A6DF-13FA5E99B869}"/>
    <cellStyle name="Normal 4 2 4 3 2 3 3" xfId="5565" xr:uid="{00000000-0005-0000-0000-000086130000}"/>
    <cellStyle name="Normal 4 2 4 3 2 3 3 2" xfId="14007" xr:uid="{411BE08D-A08F-4CC4-BB9D-6785F4E15C0D}"/>
    <cellStyle name="Normal 4 2 4 3 2 3 4" xfId="9789" xr:uid="{8FB5C990-F01E-4A48-B046-1B4B1A518FA7}"/>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12B09706-A9F6-404A-A2F3-07F1A9166C49}"/>
    <cellStyle name="Normal 4 2 4 3 2 4 2 3" xfId="12347" xr:uid="{48401834-34D6-4587-AF93-969C7CACD946}"/>
    <cellStyle name="Normal 4 2 4 3 2 4 3" xfId="5978" xr:uid="{00000000-0005-0000-0000-00008A130000}"/>
    <cellStyle name="Normal 4 2 4 3 2 4 3 2" xfId="14420" xr:uid="{9DD3E0FC-F1D8-404B-83B7-BE000E38B682}"/>
    <cellStyle name="Normal 4 2 4 3 2 4 4" xfId="10202" xr:uid="{B0AECFEB-9A80-4106-95F8-62DEAC2678F8}"/>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6D4C5A8B-E8F6-4236-A760-575F47E20999}"/>
    <cellStyle name="Normal 4 2 4 3 2 5 2 3" xfId="12760" xr:uid="{2F0B9420-9FF4-4EB6-838A-344F246306D5}"/>
    <cellStyle name="Normal 4 2 4 3 2 5 3" xfId="6391" xr:uid="{00000000-0005-0000-0000-00008E130000}"/>
    <cellStyle name="Normal 4 2 4 3 2 5 3 2" xfId="14833" xr:uid="{063748A4-AB89-4A44-A581-AB7CAFCE6D73}"/>
    <cellStyle name="Normal 4 2 4 3 2 5 4" xfId="10615" xr:uid="{A1BA72B0-5760-4C4C-87A0-6DB6AE1B7136}"/>
    <cellStyle name="Normal 4 2 4 3 2 6" xfId="2520" xr:uid="{00000000-0005-0000-0000-00008F130000}"/>
    <cellStyle name="Normal 4 2 4 3 2 6 2" xfId="6804" xr:uid="{00000000-0005-0000-0000-000090130000}"/>
    <cellStyle name="Normal 4 2 4 3 2 6 2 2" xfId="15246" xr:uid="{28E09BCC-1CB1-43A5-A4C4-1A728B9A88B3}"/>
    <cellStyle name="Normal 4 2 4 3 2 6 3" xfId="11028" xr:uid="{0D5C9886-D4D8-4B0F-9A69-24C17521A242}"/>
    <cellStyle name="Normal 4 2 4 3 2 7" xfId="4739" xr:uid="{00000000-0005-0000-0000-000091130000}"/>
    <cellStyle name="Normal 4 2 4 3 2 7 2" xfId="13181" xr:uid="{72DBA0B7-8628-442F-937D-DA119FFBCB21}"/>
    <cellStyle name="Normal 4 2 4 3 2 8" xfId="8963" xr:uid="{EDD43EAF-D7DB-4D8A-B9FC-9CA3788FFA65}"/>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2B546711-9516-4879-920A-CF0D2745A4C5}"/>
    <cellStyle name="Normal 4 2 4 3 3 2 3" xfId="11520" xr:uid="{1DE0A52E-2419-4380-9A84-042F79D9E006}"/>
    <cellStyle name="Normal 4 2 4 3 3 3" xfId="5151" xr:uid="{00000000-0005-0000-0000-000095130000}"/>
    <cellStyle name="Normal 4 2 4 3 3 3 2" xfId="13593" xr:uid="{CA21A92C-AAC4-4C36-8EFE-44DE0C06F7DA}"/>
    <cellStyle name="Normal 4 2 4 3 3 4" xfId="9375" xr:uid="{E94B275F-3855-4D4D-B586-18E1CE008241}"/>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DBD748D8-29E7-4F4A-BA15-3594C838BB99}"/>
    <cellStyle name="Normal 4 2 4 3 4 2 3" xfId="11933" xr:uid="{168B3A5F-123C-4079-A737-A7B79C3D2FBB}"/>
    <cellStyle name="Normal 4 2 4 3 4 3" xfId="5564" xr:uid="{00000000-0005-0000-0000-000099130000}"/>
    <cellStyle name="Normal 4 2 4 3 4 3 2" xfId="14006" xr:uid="{1A8303ED-808B-4D6A-9DE0-EEA2533A90A0}"/>
    <cellStyle name="Normal 4 2 4 3 4 4" xfId="9788" xr:uid="{A13B459A-9E33-4CF7-96A4-246FA4DD2834}"/>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9B97CC80-D55B-4748-B979-28931198171C}"/>
    <cellStyle name="Normal 4 2 4 3 5 2 3" xfId="12346" xr:uid="{D80ABB71-CD7B-4885-B0DE-43883E6718B8}"/>
    <cellStyle name="Normal 4 2 4 3 5 3" xfId="5977" xr:uid="{00000000-0005-0000-0000-00009D130000}"/>
    <cellStyle name="Normal 4 2 4 3 5 3 2" xfId="14419" xr:uid="{7FEBF192-3756-4B77-8C5C-D46A49A04D7C}"/>
    <cellStyle name="Normal 4 2 4 3 5 4" xfId="10201" xr:uid="{2112D130-AD8E-4ACB-B205-94E444C073D7}"/>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A75A5640-A728-4F81-B7B7-608403A0A3DA}"/>
    <cellStyle name="Normal 4 2 4 3 6 2 3" xfId="12759" xr:uid="{36FCF399-48A8-4813-80E5-DB8A3FD6FCB3}"/>
    <cellStyle name="Normal 4 2 4 3 6 3" xfId="6390" xr:uid="{00000000-0005-0000-0000-0000A1130000}"/>
    <cellStyle name="Normal 4 2 4 3 6 3 2" xfId="14832" xr:uid="{D4634DFA-38D7-43EC-9D2E-023CBBAA1111}"/>
    <cellStyle name="Normal 4 2 4 3 6 4" xfId="10614" xr:uid="{7543576D-FAEF-491D-987E-24FE0D15D8DD}"/>
    <cellStyle name="Normal 4 2 4 3 7" xfId="2519" xr:uid="{00000000-0005-0000-0000-0000A2130000}"/>
    <cellStyle name="Normal 4 2 4 3 7 2" xfId="6803" xr:uid="{00000000-0005-0000-0000-0000A3130000}"/>
    <cellStyle name="Normal 4 2 4 3 7 2 2" xfId="15245" xr:uid="{D5CFD020-F84D-4948-85BC-D791ADDCE541}"/>
    <cellStyle name="Normal 4 2 4 3 7 3" xfId="11027" xr:uid="{E58DB8FF-BB0D-4EF2-8B4F-3A6D59585E21}"/>
    <cellStyle name="Normal 4 2 4 3 8" xfId="4738" xr:uid="{00000000-0005-0000-0000-0000A4130000}"/>
    <cellStyle name="Normal 4 2 4 3 8 2" xfId="13180" xr:uid="{52D5F238-D91A-452A-99C5-2AA455B9442D}"/>
    <cellStyle name="Normal 4 2 4 3 9" xfId="8962" xr:uid="{AD2697A2-55AD-4B40-8BF8-9217AC4CA758}"/>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7522CD23-ED95-4B76-BF80-BE795A2F55AD}"/>
    <cellStyle name="Normal 4 2 4 4 2 2 3" xfId="11522" xr:uid="{E43B9CCA-53DA-4F49-93ED-1209EBD54D2F}"/>
    <cellStyle name="Normal 4 2 4 4 2 3" xfId="5153" xr:uid="{00000000-0005-0000-0000-0000A9130000}"/>
    <cellStyle name="Normal 4 2 4 4 2 3 2" xfId="13595" xr:uid="{3281C27B-5332-49CF-86E6-078E79C940F5}"/>
    <cellStyle name="Normal 4 2 4 4 2 4" xfId="9377" xr:uid="{5ABB4C05-E2A2-429C-AFBA-EE31036944F1}"/>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3DB93A69-621E-458E-B3CB-895C9EA535A9}"/>
    <cellStyle name="Normal 4 2 4 4 3 2 3" xfId="11935" xr:uid="{985B2E91-ED47-48A2-9E91-213446C9E481}"/>
    <cellStyle name="Normal 4 2 4 4 3 3" xfId="5566" xr:uid="{00000000-0005-0000-0000-0000AD130000}"/>
    <cellStyle name="Normal 4 2 4 4 3 3 2" xfId="14008" xr:uid="{9F4D59F6-D562-4836-8CF0-95D43BB58D6F}"/>
    <cellStyle name="Normal 4 2 4 4 3 4" xfId="9790" xr:uid="{6A3F44BD-D4F7-4E4F-860C-E7987A18C00B}"/>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49F8D518-EFC0-4D69-A1DB-09CC0F6A4CA4}"/>
    <cellStyle name="Normal 4 2 4 4 4 2 3" xfId="12348" xr:uid="{4F8C322D-4BB7-45D1-8D17-CCDF55166310}"/>
    <cellStyle name="Normal 4 2 4 4 4 3" xfId="5979" xr:uid="{00000000-0005-0000-0000-0000B1130000}"/>
    <cellStyle name="Normal 4 2 4 4 4 3 2" xfId="14421" xr:uid="{08CE8448-AE45-4F09-BE95-7D7888BCB108}"/>
    <cellStyle name="Normal 4 2 4 4 4 4" xfId="10203" xr:uid="{E0D83703-4D26-4589-8F9C-3B87AF513308}"/>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F03A382B-6612-431E-913B-80970FAC3E54}"/>
    <cellStyle name="Normal 4 2 4 4 5 2 3" xfId="12761" xr:uid="{1800D663-E721-4932-BA98-4771DFD11CA7}"/>
    <cellStyle name="Normal 4 2 4 4 5 3" xfId="6392" xr:uid="{00000000-0005-0000-0000-0000B5130000}"/>
    <cellStyle name="Normal 4 2 4 4 5 3 2" xfId="14834" xr:uid="{22A24173-50B2-4334-86F2-5599B8C60C5E}"/>
    <cellStyle name="Normal 4 2 4 4 5 4" xfId="10616" xr:uid="{3A795A00-BCAC-4852-8181-E6226B36C40B}"/>
    <cellStyle name="Normal 4 2 4 4 6" xfId="2521" xr:uid="{00000000-0005-0000-0000-0000B6130000}"/>
    <cellStyle name="Normal 4 2 4 4 6 2" xfId="6805" xr:uid="{00000000-0005-0000-0000-0000B7130000}"/>
    <cellStyle name="Normal 4 2 4 4 6 2 2" xfId="15247" xr:uid="{570C0BB5-90E0-427A-8A71-48BD5ACF0B16}"/>
    <cellStyle name="Normal 4 2 4 4 6 3" xfId="11029" xr:uid="{9B059376-875E-4F90-A96A-93BB53C0D0C3}"/>
    <cellStyle name="Normal 4 2 4 4 7" xfId="4740" xr:uid="{00000000-0005-0000-0000-0000B8130000}"/>
    <cellStyle name="Normal 4 2 4 4 7 2" xfId="13182" xr:uid="{52B89D28-EE74-4231-9F9B-C1E1F54204CB}"/>
    <cellStyle name="Normal 4 2 4 4 8" xfId="8964" xr:uid="{B744FA26-B4BA-4E9C-85AA-F6B65F897E45}"/>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BFB244C2-3C9F-4791-98E0-A60806B9EF9D}"/>
    <cellStyle name="Normal 4 2 4 5 2 3" xfId="11515" xr:uid="{C58ADFCF-E077-4093-B398-8E6B42CB7D8B}"/>
    <cellStyle name="Normal 4 2 4 5 3" xfId="5146" xr:uid="{00000000-0005-0000-0000-0000BC130000}"/>
    <cellStyle name="Normal 4 2 4 5 3 2" xfId="13588" xr:uid="{05631B28-32D5-489A-AF48-6F11C37FE4B0}"/>
    <cellStyle name="Normal 4 2 4 5 4" xfId="9370" xr:uid="{00FE838D-7723-4F92-A017-AB59D41CD8B2}"/>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B8720702-EFA9-4588-8CAA-857DA0C8CB93}"/>
    <cellStyle name="Normal 4 2 4 6 2 3" xfId="11928" xr:uid="{62BD2118-EBBB-4F43-B0C6-2AC2FEFABA9F}"/>
    <cellStyle name="Normal 4 2 4 6 3" xfId="5559" xr:uid="{00000000-0005-0000-0000-0000C0130000}"/>
    <cellStyle name="Normal 4 2 4 6 3 2" xfId="14001" xr:uid="{BF26726D-DAC0-4B06-8CBB-EAE2524F5767}"/>
    <cellStyle name="Normal 4 2 4 6 4" xfId="9783" xr:uid="{5333865A-4C47-4716-9750-982FC792A7E4}"/>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2A49B652-7ADF-4657-9F0A-436971AD62EC}"/>
    <cellStyle name="Normal 4 2 4 7 2 3" xfId="12341" xr:uid="{CBFD7FC6-633F-4969-B143-7CE55675C5D8}"/>
    <cellStyle name="Normal 4 2 4 7 3" xfId="5972" xr:uid="{00000000-0005-0000-0000-0000C4130000}"/>
    <cellStyle name="Normal 4 2 4 7 3 2" xfId="14414" xr:uid="{81301FDD-D2E4-4366-BAFA-0EC52A2A329B}"/>
    <cellStyle name="Normal 4 2 4 7 4" xfId="10196" xr:uid="{C4E13046-4159-4FA4-9697-0C2808D3C0BF}"/>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40BA9935-43BF-4048-842A-D63746452344}"/>
    <cellStyle name="Normal 4 2 4 8 2 3" xfId="12754" xr:uid="{CC7707AD-EC5A-4568-8599-FF92AF6E5C62}"/>
    <cellStyle name="Normal 4 2 4 8 3" xfId="6385" xr:uid="{00000000-0005-0000-0000-0000C8130000}"/>
    <cellStyle name="Normal 4 2 4 8 3 2" xfId="14827" xr:uid="{055E841D-72CD-4F61-BF09-41D2C85BCE5F}"/>
    <cellStyle name="Normal 4 2 4 8 4" xfId="10609" xr:uid="{BA674423-C5DE-49E4-8C68-203ECDD2BE92}"/>
    <cellStyle name="Normal 4 2 4 9" xfId="2514" xr:uid="{00000000-0005-0000-0000-0000C9130000}"/>
    <cellStyle name="Normal 4 2 4 9 2" xfId="6798" xr:uid="{00000000-0005-0000-0000-0000CA130000}"/>
    <cellStyle name="Normal 4 2 4 9 2 2" xfId="15240" xr:uid="{3EA25B1F-71CE-443F-BCBD-CEE05018DF21}"/>
    <cellStyle name="Normal 4 2 4 9 3" xfId="11022" xr:uid="{B11654B5-CD5F-484B-882C-4915E5CEBDE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AC0F9B07-F676-4F46-8989-2A8BF19D51B4}"/>
    <cellStyle name="Normal 4 2 5 2 2 2 3" xfId="11524" xr:uid="{8124034C-4C15-4E3E-83A7-2B70DB408078}"/>
    <cellStyle name="Normal 4 2 5 2 2 3" xfId="5155" xr:uid="{00000000-0005-0000-0000-0000D0130000}"/>
    <cellStyle name="Normal 4 2 5 2 2 3 2" xfId="13597" xr:uid="{ECA24AB1-3285-46B0-B092-23667FFE22F2}"/>
    <cellStyle name="Normal 4 2 5 2 2 4" xfId="9379" xr:uid="{A5D18D73-4D87-4FD1-BBAF-A4FD9DEAE994}"/>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5DB8385E-5AC5-4D8B-B618-6BF405C65267}"/>
    <cellStyle name="Normal 4 2 5 2 3 2 3" xfId="11937" xr:uid="{D752C537-567A-408C-B668-5B1652734C93}"/>
    <cellStyle name="Normal 4 2 5 2 3 3" xfId="5568" xr:uid="{00000000-0005-0000-0000-0000D4130000}"/>
    <cellStyle name="Normal 4 2 5 2 3 3 2" xfId="14010" xr:uid="{6FDEF2D9-848A-40D9-A255-05666CFC9802}"/>
    <cellStyle name="Normal 4 2 5 2 3 4" xfId="9792" xr:uid="{95FDD369-1D19-43EB-8956-5495F69C215A}"/>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09E11BE8-5288-4091-8DD2-D99C5D6EF593}"/>
    <cellStyle name="Normal 4 2 5 2 4 2 3" xfId="12350" xr:uid="{EB980825-C7B5-443D-974A-505CA39A2076}"/>
    <cellStyle name="Normal 4 2 5 2 4 3" xfId="5981" xr:uid="{00000000-0005-0000-0000-0000D8130000}"/>
    <cellStyle name="Normal 4 2 5 2 4 3 2" xfId="14423" xr:uid="{C006817D-12CB-473A-BCC2-A687310C61C2}"/>
    <cellStyle name="Normal 4 2 5 2 4 4" xfId="10205" xr:uid="{27BF72F2-67B9-4E52-977E-849C8F7AC488}"/>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20353C99-22B0-4F9A-9D0E-6BFF7B880B21}"/>
    <cellStyle name="Normal 4 2 5 2 5 2 3" xfId="12763" xr:uid="{52DCFCD2-A05E-4FAB-B155-1E140830AC58}"/>
    <cellStyle name="Normal 4 2 5 2 5 3" xfId="6394" xr:uid="{00000000-0005-0000-0000-0000DC130000}"/>
    <cellStyle name="Normal 4 2 5 2 5 3 2" xfId="14836" xr:uid="{F84C0AFC-9E49-4722-857A-C69438AED48A}"/>
    <cellStyle name="Normal 4 2 5 2 5 4" xfId="10618" xr:uid="{D6578437-CBAC-4A7E-9693-BC97D59F8FC5}"/>
    <cellStyle name="Normal 4 2 5 2 6" xfId="2523" xr:uid="{00000000-0005-0000-0000-0000DD130000}"/>
    <cellStyle name="Normal 4 2 5 2 6 2" xfId="6807" xr:uid="{00000000-0005-0000-0000-0000DE130000}"/>
    <cellStyle name="Normal 4 2 5 2 6 2 2" xfId="15249" xr:uid="{442A52BB-8DC8-480F-B212-F08597AFF373}"/>
    <cellStyle name="Normal 4 2 5 2 6 3" xfId="11031" xr:uid="{285FE777-ED24-4D27-9D22-AAACFF9B7665}"/>
    <cellStyle name="Normal 4 2 5 2 7" xfId="4742" xr:uid="{00000000-0005-0000-0000-0000DF130000}"/>
    <cellStyle name="Normal 4 2 5 2 7 2" xfId="13184" xr:uid="{56F7C179-4A1F-4E0C-BAA2-6D4B02ADD928}"/>
    <cellStyle name="Normal 4 2 5 2 8" xfId="8966" xr:uid="{D96EB0C7-8AD4-4A18-8448-FE546907C4D8}"/>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7F9E7E7D-35DA-4B91-BA8A-97A3A5F8D663}"/>
    <cellStyle name="Normal 4 2 5 3 2 3" xfId="11523" xr:uid="{AD69F890-8DDF-4D88-80D1-80BB593E3B7D}"/>
    <cellStyle name="Normal 4 2 5 3 3" xfId="5154" xr:uid="{00000000-0005-0000-0000-0000E3130000}"/>
    <cellStyle name="Normal 4 2 5 3 3 2" xfId="13596" xr:uid="{D09709A0-B4CD-429A-8A6B-60FCDA855D09}"/>
    <cellStyle name="Normal 4 2 5 3 4" xfId="9378" xr:uid="{E297A11F-3B32-4530-85A5-F81F85CACF72}"/>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F4623224-0ACA-4EE5-9B9E-66BAB9372F81}"/>
    <cellStyle name="Normal 4 2 5 4 2 3" xfId="11936" xr:uid="{F68E87B3-A4A6-4A36-B589-5674D96CBCB5}"/>
    <cellStyle name="Normal 4 2 5 4 3" xfId="5567" xr:uid="{00000000-0005-0000-0000-0000E7130000}"/>
    <cellStyle name="Normal 4 2 5 4 3 2" xfId="14009" xr:uid="{B4CA04FD-33F7-4E61-A40E-FA93C2F98914}"/>
    <cellStyle name="Normal 4 2 5 4 4" xfId="9791" xr:uid="{96A406EF-D296-41C9-884E-3500FF8B411B}"/>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E3CA17E3-7BB4-4AE2-AA5A-5B88FA4C8938}"/>
    <cellStyle name="Normal 4 2 5 5 2 3" xfId="12349" xr:uid="{457593D6-AC44-49FC-9FDF-D0E80FE32ED2}"/>
    <cellStyle name="Normal 4 2 5 5 3" xfId="5980" xr:uid="{00000000-0005-0000-0000-0000EB130000}"/>
    <cellStyle name="Normal 4 2 5 5 3 2" xfId="14422" xr:uid="{531D551C-95F5-4941-80C7-4B6013E0F47D}"/>
    <cellStyle name="Normal 4 2 5 5 4" xfId="10204" xr:uid="{686BC4CC-BDB9-44CC-AF70-3EF3F3216A48}"/>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430068F8-2734-4D69-B169-C910CDE2BA10}"/>
    <cellStyle name="Normal 4 2 5 6 2 3" xfId="12762" xr:uid="{B6A3DC33-4C5D-4465-A229-9E08C2732D08}"/>
    <cellStyle name="Normal 4 2 5 6 3" xfId="6393" xr:uid="{00000000-0005-0000-0000-0000EF130000}"/>
    <cellStyle name="Normal 4 2 5 6 3 2" xfId="14835" xr:uid="{A45BD796-DB0B-4778-9C0D-6F45ADEEC901}"/>
    <cellStyle name="Normal 4 2 5 6 4" xfId="10617" xr:uid="{978BDCDD-ED03-493E-B900-735521DB755D}"/>
    <cellStyle name="Normal 4 2 5 7" xfId="2522" xr:uid="{00000000-0005-0000-0000-0000F0130000}"/>
    <cellStyle name="Normal 4 2 5 7 2" xfId="6806" xr:uid="{00000000-0005-0000-0000-0000F1130000}"/>
    <cellStyle name="Normal 4 2 5 7 2 2" xfId="15248" xr:uid="{79535FA5-7245-472F-B075-6A0922F5C660}"/>
    <cellStyle name="Normal 4 2 5 7 3" xfId="11030" xr:uid="{1D2E4D9C-7A6D-4640-A0FF-775D6724AE21}"/>
    <cellStyle name="Normal 4 2 5 8" xfId="4741" xr:uid="{00000000-0005-0000-0000-0000F2130000}"/>
    <cellStyle name="Normal 4 2 5 8 2" xfId="13183" xr:uid="{35974C20-7AC8-469A-8CBA-28892C24D42E}"/>
    <cellStyle name="Normal 4 2 5 9" xfId="8965" xr:uid="{817E5C8F-CD1F-450D-BFE8-087FCC76CD2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ED6ED53F-FBA7-459A-8AE5-D29591AE47FE}"/>
    <cellStyle name="Normal 4 2 6 2 2 3" xfId="11525" xr:uid="{E15762B4-BCA6-4532-91F5-E56E1AF4F17A}"/>
    <cellStyle name="Normal 4 2 6 2 3" xfId="5156" xr:uid="{00000000-0005-0000-0000-0000F7130000}"/>
    <cellStyle name="Normal 4 2 6 2 3 2" xfId="13598" xr:uid="{B0B0F4FC-53D5-4EDE-B3BA-CAFC6F6D0247}"/>
    <cellStyle name="Normal 4 2 6 2 4" xfId="9380" xr:uid="{A2ED5E40-F34D-46A3-B785-34CD5E384303}"/>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2096234C-5BCE-4A45-BE7F-C5FA3E496A9D}"/>
    <cellStyle name="Normal 4 2 6 3 2 3" xfId="11938" xr:uid="{10D60834-287A-4D16-B9E8-FF15894E29E4}"/>
    <cellStyle name="Normal 4 2 6 3 3" xfId="5569" xr:uid="{00000000-0005-0000-0000-0000FB130000}"/>
    <cellStyle name="Normal 4 2 6 3 3 2" xfId="14011" xr:uid="{CCEE16DC-194C-4162-918D-FF3C7CECD0EB}"/>
    <cellStyle name="Normal 4 2 6 3 4" xfId="9793" xr:uid="{49220B7D-63C0-433F-A19F-D29833EA96EC}"/>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DAAE57C3-B85E-4A01-98CA-FF9B816C3B5D}"/>
    <cellStyle name="Normal 4 2 6 4 2 3" xfId="12351" xr:uid="{622AF208-FF52-4D7C-93A7-9E7EB71F9261}"/>
    <cellStyle name="Normal 4 2 6 4 3" xfId="5982" xr:uid="{00000000-0005-0000-0000-0000FF130000}"/>
    <cellStyle name="Normal 4 2 6 4 3 2" xfId="14424" xr:uid="{72ECBA2A-5361-4AD6-9047-7468D29E1681}"/>
    <cellStyle name="Normal 4 2 6 4 4" xfId="10206" xr:uid="{65957BCE-9E47-4250-8ED8-C92788C9BBEE}"/>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AB05816C-664C-4F64-B54D-EC184D741C1D}"/>
    <cellStyle name="Normal 4 2 6 5 2 3" xfId="12764" xr:uid="{83AB5980-AD9F-41D6-8B87-46260A5F1E3D}"/>
    <cellStyle name="Normal 4 2 6 5 3" xfId="6395" xr:uid="{00000000-0005-0000-0000-000003140000}"/>
    <cellStyle name="Normal 4 2 6 5 3 2" xfId="14837" xr:uid="{64530ADB-4238-4CF1-9661-AA61F72F987B}"/>
    <cellStyle name="Normal 4 2 6 5 4" xfId="10619" xr:uid="{C0228427-D9CF-4D1F-8F47-B8E63281FC31}"/>
    <cellStyle name="Normal 4 2 6 6" xfId="2524" xr:uid="{00000000-0005-0000-0000-000004140000}"/>
    <cellStyle name="Normal 4 2 6 6 2" xfId="6808" xr:uid="{00000000-0005-0000-0000-000005140000}"/>
    <cellStyle name="Normal 4 2 6 6 2 2" xfId="15250" xr:uid="{6CAC52F2-8783-418B-9B99-64A36D30F5D7}"/>
    <cellStyle name="Normal 4 2 6 6 3" xfId="11032" xr:uid="{F77ED599-C249-453A-ACE3-43AA41D23FF1}"/>
    <cellStyle name="Normal 4 2 6 7" xfId="4743" xr:uid="{00000000-0005-0000-0000-000006140000}"/>
    <cellStyle name="Normal 4 2 6 7 2" xfId="13185" xr:uid="{2F6666B9-767D-4EE3-87C8-421EB264CB56}"/>
    <cellStyle name="Normal 4 2 6 8" xfId="8967" xr:uid="{5716F7D6-CA01-4E97-8921-5FC75B35A8A9}"/>
    <cellStyle name="Normal 4 3" xfId="366" xr:uid="{00000000-0005-0000-0000-000007140000}"/>
    <cellStyle name="Normal 4 3 10" xfId="8968" xr:uid="{8C22969C-C4D4-4082-9510-8B111FE590F1}"/>
    <cellStyle name="Normal 4 3 2" xfId="367" xr:uid="{00000000-0005-0000-0000-000008140000}"/>
    <cellStyle name="Normal 4 3 2 2" xfId="368" xr:uid="{00000000-0005-0000-0000-000009140000}"/>
    <cellStyle name="Normal 4 3 2 2 2" xfId="369" xr:uid="{00000000-0005-0000-0000-00000A140000}"/>
    <cellStyle name="Normal 4 3 2 2 2 10" xfId="8969" xr:uid="{C8402F96-25EB-49AA-AAE8-60A38C8A96EB}"/>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3E6A3B55-9737-4AEA-990E-698FA477DA3E}"/>
    <cellStyle name="Normal 4 3 2 2 2 2 2 2 2 3" xfId="11529" xr:uid="{621139FE-2085-47B6-BEE4-F123BE7CD4CD}"/>
    <cellStyle name="Normal 4 3 2 2 2 2 2 2 3" xfId="5160" xr:uid="{00000000-0005-0000-0000-000010140000}"/>
    <cellStyle name="Normal 4 3 2 2 2 2 2 2 3 2" xfId="13602" xr:uid="{55CA7E0F-5B72-4FA4-B49E-080FCF37EAD9}"/>
    <cellStyle name="Normal 4 3 2 2 2 2 2 2 4" xfId="9384" xr:uid="{8B03CB4B-D48C-41C7-A6F4-F1058B7B8BCE}"/>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19D11AF3-0E59-4AE9-B048-C3DC5A6D01EA}"/>
    <cellStyle name="Normal 4 3 2 2 2 2 2 3 2 3" xfId="11942" xr:uid="{DA117112-41F2-4199-804C-D5B157C2F32A}"/>
    <cellStyle name="Normal 4 3 2 2 2 2 2 3 3" xfId="5573" xr:uid="{00000000-0005-0000-0000-000014140000}"/>
    <cellStyle name="Normal 4 3 2 2 2 2 2 3 3 2" xfId="14015" xr:uid="{95E8BAFC-2873-4EA4-8028-40D9A86D8F98}"/>
    <cellStyle name="Normal 4 3 2 2 2 2 2 3 4" xfId="9797" xr:uid="{30DD1BB3-23B4-44C8-A6CE-C6BD58125D45}"/>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0DEB71C6-0A0F-40ED-ACC6-01F7D7BCC620}"/>
    <cellStyle name="Normal 4 3 2 2 2 2 2 4 2 3" xfId="12355" xr:uid="{5AAAAF8E-4CFF-4CD2-9C44-76892BA13775}"/>
    <cellStyle name="Normal 4 3 2 2 2 2 2 4 3" xfId="5986" xr:uid="{00000000-0005-0000-0000-000018140000}"/>
    <cellStyle name="Normal 4 3 2 2 2 2 2 4 3 2" xfId="14428" xr:uid="{2D77F062-DB71-4A14-A9E3-F7FEBF9C7A3F}"/>
    <cellStyle name="Normal 4 3 2 2 2 2 2 4 4" xfId="10210" xr:uid="{D7BE38CF-67BF-4FA4-A696-0320CA2A3A99}"/>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5AE4F59E-CF32-4FBE-954D-9BC3CEB5FE00}"/>
    <cellStyle name="Normal 4 3 2 2 2 2 2 5 2 3" xfId="12768" xr:uid="{B2520707-130E-4F36-B98A-897C78117B5C}"/>
    <cellStyle name="Normal 4 3 2 2 2 2 2 5 3" xfId="6399" xr:uid="{00000000-0005-0000-0000-00001C140000}"/>
    <cellStyle name="Normal 4 3 2 2 2 2 2 5 3 2" xfId="14841" xr:uid="{87EAEB61-6BCC-4637-922E-E174EE90FAD7}"/>
    <cellStyle name="Normal 4 3 2 2 2 2 2 5 4" xfId="10623" xr:uid="{6BA6370A-C220-4FED-BE90-82C622916CEF}"/>
    <cellStyle name="Normal 4 3 2 2 2 2 2 6" xfId="2528" xr:uid="{00000000-0005-0000-0000-00001D140000}"/>
    <cellStyle name="Normal 4 3 2 2 2 2 2 6 2" xfId="6812" xr:uid="{00000000-0005-0000-0000-00001E140000}"/>
    <cellStyle name="Normal 4 3 2 2 2 2 2 6 2 2" xfId="15254" xr:uid="{5A67B969-9768-499E-8111-88928650E0A5}"/>
    <cellStyle name="Normal 4 3 2 2 2 2 2 6 3" xfId="11036" xr:uid="{DE5DF219-35D9-4DDE-899F-9A4C3A07264D}"/>
    <cellStyle name="Normal 4 3 2 2 2 2 2 7" xfId="4747" xr:uid="{00000000-0005-0000-0000-00001F140000}"/>
    <cellStyle name="Normal 4 3 2 2 2 2 2 7 2" xfId="13189" xr:uid="{41DEDCA6-A590-45AF-AD76-0A8571B32A62}"/>
    <cellStyle name="Normal 4 3 2 2 2 2 2 8" xfId="8971" xr:uid="{D3424BBE-107B-40A1-9680-9934506B9923}"/>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B4829172-E3FC-42AB-9D2E-A7F1A90FD3E0}"/>
    <cellStyle name="Normal 4 3 2 2 2 2 3 2 3" xfId="11528" xr:uid="{9D582D54-23A1-4A33-83EC-C5DB71FCB081}"/>
    <cellStyle name="Normal 4 3 2 2 2 2 3 3" xfId="5159" xr:uid="{00000000-0005-0000-0000-000023140000}"/>
    <cellStyle name="Normal 4 3 2 2 2 2 3 3 2" xfId="13601" xr:uid="{3E2B9953-7504-48C7-BD4C-66FC42C2FE3E}"/>
    <cellStyle name="Normal 4 3 2 2 2 2 3 4" xfId="9383" xr:uid="{4BA8C0A9-73BE-428F-B816-E84BF2943928}"/>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B9B5E8AE-8690-4DF5-8A45-38B8F07BA128}"/>
    <cellStyle name="Normal 4 3 2 2 2 2 4 2 3" xfId="11941" xr:uid="{D8BA386D-3E81-4089-85F1-D2178C90FC3B}"/>
    <cellStyle name="Normal 4 3 2 2 2 2 4 3" xfId="5572" xr:uid="{00000000-0005-0000-0000-000027140000}"/>
    <cellStyle name="Normal 4 3 2 2 2 2 4 3 2" xfId="14014" xr:uid="{0F9A9841-FF56-4B29-9023-128B984DA099}"/>
    <cellStyle name="Normal 4 3 2 2 2 2 4 4" xfId="9796" xr:uid="{2FEF2AFC-399E-4F4F-91AC-4771EF4D3EBB}"/>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407460E3-1410-4B4A-944A-D30932412E18}"/>
    <cellStyle name="Normal 4 3 2 2 2 2 5 2 3" xfId="12354" xr:uid="{6A399105-748C-4455-AE3A-5AC960F9DFE1}"/>
    <cellStyle name="Normal 4 3 2 2 2 2 5 3" xfId="5985" xr:uid="{00000000-0005-0000-0000-00002B140000}"/>
    <cellStyle name="Normal 4 3 2 2 2 2 5 3 2" xfId="14427" xr:uid="{B685364F-A400-4CFC-9208-6D58855606FF}"/>
    <cellStyle name="Normal 4 3 2 2 2 2 5 4" xfId="10209" xr:uid="{FFD7C664-9D10-406A-80AD-67365EE75D6B}"/>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7F4FFBCA-B591-477B-83F0-793B05865CEC}"/>
    <cellStyle name="Normal 4 3 2 2 2 2 6 2 3" xfId="12767" xr:uid="{6EA39E5E-8025-40C7-9C77-473168FAF770}"/>
    <cellStyle name="Normal 4 3 2 2 2 2 6 3" xfId="6398" xr:uid="{00000000-0005-0000-0000-00002F140000}"/>
    <cellStyle name="Normal 4 3 2 2 2 2 6 3 2" xfId="14840" xr:uid="{753D61D2-913D-43B4-95EA-50CB33B04CDF}"/>
    <cellStyle name="Normal 4 3 2 2 2 2 6 4" xfId="10622" xr:uid="{D3E3ECEF-75B8-48FE-A572-A0DC1AB1A277}"/>
    <cellStyle name="Normal 4 3 2 2 2 2 7" xfId="2527" xr:uid="{00000000-0005-0000-0000-000030140000}"/>
    <cellStyle name="Normal 4 3 2 2 2 2 7 2" xfId="6811" xr:uid="{00000000-0005-0000-0000-000031140000}"/>
    <cellStyle name="Normal 4 3 2 2 2 2 7 2 2" xfId="15253" xr:uid="{85BCCD4F-B87B-4F45-9B73-BD5A7780DBCB}"/>
    <cellStyle name="Normal 4 3 2 2 2 2 7 3" xfId="11035" xr:uid="{192EBEFD-EBD4-409E-8BBD-A450A6694889}"/>
    <cellStyle name="Normal 4 3 2 2 2 2 8" xfId="4746" xr:uid="{00000000-0005-0000-0000-000032140000}"/>
    <cellStyle name="Normal 4 3 2 2 2 2 8 2" xfId="13188" xr:uid="{51F377BD-8F83-4789-AC39-1EC47345BFD4}"/>
    <cellStyle name="Normal 4 3 2 2 2 2 9" xfId="8970" xr:uid="{7AE7B169-69FA-4840-94B0-C847B8650C67}"/>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49EC689D-CAA4-41B4-9489-B7605D09FA2F}"/>
    <cellStyle name="Normal 4 3 2 2 2 3 2 2 3" xfId="11530" xr:uid="{1AE6E3B1-4673-4BB3-99E2-CF5075FE5EEA}"/>
    <cellStyle name="Normal 4 3 2 2 2 3 2 3" xfId="5161" xr:uid="{00000000-0005-0000-0000-000037140000}"/>
    <cellStyle name="Normal 4 3 2 2 2 3 2 3 2" xfId="13603" xr:uid="{1C57DD60-615A-4A17-A838-2087BA7C12AF}"/>
    <cellStyle name="Normal 4 3 2 2 2 3 2 4" xfId="9385" xr:uid="{6C2D2584-075C-40AA-9C53-727F1D532532}"/>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07EE3A81-FB53-4E1C-9C6C-F38F4E73F5C6}"/>
    <cellStyle name="Normal 4 3 2 2 2 3 3 2 3" xfId="11943" xr:uid="{E88729B9-99C3-475D-9570-FC8BFCFD0038}"/>
    <cellStyle name="Normal 4 3 2 2 2 3 3 3" xfId="5574" xr:uid="{00000000-0005-0000-0000-00003B140000}"/>
    <cellStyle name="Normal 4 3 2 2 2 3 3 3 2" xfId="14016" xr:uid="{8A002509-FE42-49FC-99A8-CF8EED0CB279}"/>
    <cellStyle name="Normal 4 3 2 2 2 3 3 4" xfId="9798" xr:uid="{D4A4308B-75F1-4212-A6CE-2468D7DD08B7}"/>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5678F04A-988F-405B-AEA3-63ABCE2837B5}"/>
    <cellStyle name="Normal 4 3 2 2 2 3 4 2 3" xfId="12356" xr:uid="{53B08D63-B252-4854-B826-ADEDAEC3F1C9}"/>
    <cellStyle name="Normal 4 3 2 2 2 3 4 3" xfId="5987" xr:uid="{00000000-0005-0000-0000-00003F140000}"/>
    <cellStyle name="Normal 4 3 2 2 2 3 4 3 2" xfId="14429" xr:uid="{BF5A7D6C-BF86-46FC-8574-D4029BE14512}"/>
    <cellStyle name="Normal 4 3 2 2 2 3 4 4" xfId="10211" xr:uid="{93EAEB6F-9BD1-42B2-A31F-16711C42B03D}"/>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4FD347BB-34C5-4BC4-8EC5-B399BD478591}"/>
    <cellStyle name="Normal 4 3 2 2 2 3 5 2 3" xfId="12769" xr:uid="{4F897B41-71C6-4454-911E-E74A0EDFFFE2}"/>
    <cellStyle name="Normal 4 3 2 2 2 3 5 3" xfId="6400" xr:uid="{00000000-0005-0000-0000-000043140000}"/>
    <cellStyle name="Normal 4 3 2 2 2 3 5 3 2" xfId="14842" xr:uid="{3E3C7B99-5453-419F-895D-5FA1338B974C}"/>
    <cellStyle name="Normal 4 3 2 2 2 3 5 4" xfId="10624" xr:uid="{BC609675-B6DC-4C16-AE89-B9B9A0C881E8}"/>
    <cellStyle name="Normal 4 3 2 2 2 3 6" xfId="2529" xr:uid="{00000000-0005-0000-0000-000044140000}"/>
    <cellStyle name="Normal 4 3 2 2 2 3 6 2" xfId="6813" xr:uid="{00000000-0005-0000-0000-000045140000}"/>
    <cellStyle name="Normal 4 3 2 2 2 3 6 2 2" xfId="15255" xr:uid="{DD358181-751F-46B9-BB50-D50B7B70C661}"/>
    <cellStyle name="Normal 4 3 2 2 2 3 6 3" xfId="11037" xr:uid="{48C2B417-748F-4FEC-A66E-7F135E8D0086}"/>
    <cellStyle name="Normal 4 3 2 2 2 3 7" xfId="4748" xr:uid="{00000000-0005-0000-0000-000046140000}"/>
    <cellStyle name="Normal 4 3 2 2 2 3 7 2" xfId="13190" xr:uid="{5FC0CCDB-BA00-4B85-BD76-70D4C10CA621}"/>
    <cellStyle name="Normal 4 3 2 2 2 3 8" xfId="8972" xr:uid="{F1EF4341-D4F2-475E-86EC-F2469B0CCA66}"/>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59E4EFFD-0C55-471C-987B-988460B547EB}"/>
    <cellStyle name="Normal 4 3 2 2 2 4 2 3" xfId="11527" xr:uid="{B73B2092-1DEC-4824-A18A-1956EF8EA09B}"/>
    <cellStyle name="Normal 4 3 2 2 2 4 3" xfId="5158" xr:uid="{00000000-0005-0000-0000-00004A140000}"/>
    <cellStyle name="Normal 4 3 2 2 2 4 3 2" xfId="13600" xr:uid="{8DB7E196-F1A7-4224-91D6-28A486B2623A}"/>
    <cellStyle name="Normal 4 3 2 2 2 4 4" xfId="9382" xr:uid="{AA80B3B6-C02A-496D-83D7-1FF177888503}"/>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B75CBE80-11E2-4FD2-9349-FBAE57C2D6F8}"/>
    <cellStyle name="Normal 4 3 2 2 2 5 2 3" xfId="11940" xr:uid="{B79B94D5-04C6-4537-B0C5-25D354D9172D}"/>
    <cellStyle name="Normal 4 3 2 2 2 5 3" xfId="5571" xr:uid="{00000000-0005-0000-0000-00004E140000}"/>
    <cellStyle name="Normal 4 3 2 2 2 5 3 2" xfId="14013" xr:uid="{CF12800F-4835-4FE8-AF78-90257DF6984E}"/>
    <cellStyle name="Normal 4 3 2 2 2 5 4" xfId="9795" xr:uid="{8D7A6C11-1961-453E-91BF-B712D8158317}"/>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51DBBB27-48B3-4798-89FD-C3C46CB0A8BE}"/>
    <cellStyle name="Normal 4 3 2 2 2 6 2 3" xfId="12353" xr:uid="{A37440A3-0D1A-4251-B361-45FBBD40A84D}"/>
    <cellStyle name="Normal 4 3 2 2 2 6 3" xfId="5984" xr:uid="{00000000-0005-0000-0000-000052140000}"/>
    <cellStyle name="Normal 4 3 2 2 2 6 3 2" xfId="14426" xr:uid="{0BF2FA95-515E-434D-B94E-EF38B13BABB4}"/>
    <cellStyle name="Normal 4 3 2 2 2 6 4" xfId="10208" xr:uid="{4901B721-F6A4-4DCB-87AB-AFC3F5084BC3}"/>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9686BAD3-ED1A-4E11-84EA-29CCF255B7C0}"/>
    <cellStyle name="Normal 4 3 2 2 2 7 2 3" xfId="12766" xr:uid="{9E5BAF07-E562-4312-81B9-10B205C46E7A}"/>
    <cellStyle name="Normal 4 3 2 2 2 7 3" xfId="6397" xr:uid="{00000000-0005-0000-0000-000056140000}"/>
    <cellStyle name="Normal 4 3 2 2 2 7 3 2" xfId="14839" xr:uid="{C056089A-5C90-4FA1-B66E-7B0441871752}"/>
    <cellStyle name="Normal 4 3 2 2 2 7 4" xfId="10621" xr:uid="{5B844702-891D-4189-A72D-FC8F217ACAAA}"/>
    <cellStyle name="Normal 4 3 2 2 2 8" xfId="2526" xr:uid="{00000000-0005-0000-0000-000057140000}"/>
    <cellStyle name="Normal 4 3 2 2 2 8 2" xfId="6810" xr:uid="{00000000-0005-0000-0000-000058140000}"/>
    <cellStyle name="Normal 4 3 2 2 2 8 2 2" xfId="15252" xr:uid="{375871CB-361D-441A-BAC2-91A9D02C1884}"/>
    <cellStyle name="Normal 4 3 2 2 2 8 3" xfId="11034" xr:uid="{38BAC6FE-5A05-4E8C-A943-1EFDE0571F6C}"/>
    <cellStyle name="Normal 4 3 2 2 2 9" xfId="4745" xr:uid="{00000000-0005-0000-0000-000059140000}"/>
    <cellStyle name="Normal 4 3 2 2 2 9 2" xfId="13187" xr:uid="{A8AEAF89-B784-40CA-A2B3-46CC3EDC3E94}"/>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9B76EE5E-E494-4B20-912D-6F1FC13C150D}"/>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B83CE433-18C7-425F-90F5-9DDFF3744ED5}"/>
    <cellStyle name="Normal 4 3 3 2 2 2 2 3" xfId="11533" xr:uid="{4F1F012E-3FDE-4C00-BB5E-EB96591298FE}"/>
    <cellStyle name="Normal 4 3 3 2 2 2 3" xfId="5164" xr:uid="{00000000-0005-0000-0000-000063140000}"/>
    <cellStyle name="Normal 4 3 3 2 2 2 3 2" xfId="13606" xr:uid="{79A1649C-4104-4A6B-AAB0-1A88143250A3}"/>
    <cellStyle name="Normal 4 3 3 2 2 2 4" xfId="9388" xr:uid="{3CE0BCAF-AA3A-4B32-93A0-46AA1B3A079D}"/>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02DBA25C-F87A-470F-AFD8-736EF20904EB}"/>
    <cellStyle name="Normal 4 3 3 2 2 3 2 3" xfId="11946" xr:uid="{C01F7144-8907-4F4F-B959-1FEE539BFD86}"/>
    <cellStyle name="Normal 4 3 3 2 2 3 3" xfId="5577" xr:uid="{00000000-0005-0000-0000-000067140000}"/>
    <cellStyle name="Normal 4 3 3 2 2 3 3 2" xfId="14019" xr:uid="{3B9101E5-7035-4A04-AC25-A164BD6417AC}"/>
    <cellStyle name="Normal 4 3 3 2 2 3 4" xfId="9801" xr:uid="{D7CE9467-CE69-4BA6-BE80-26A93D25E6DA}"/>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933B78AF-B918-41A7-A3A2-03BAACC642A5}"/>
    <cellStyle name="Normal 4 3 3 2 2 4 2 3" xfId="12359" xr:uid="{C86B5A60-FCF2-49AB-B088-A876858FE1BF}"/>
    <cellStyle name="Normal 4 3 3 2 2 4 3" xfId="5990" xr:uid="{00000000-0005-0000-0000-00006B140000}"/>
    <cellStyle name="Normal 4 3 3 2 2 4 3 2" xfId="14432" xr:uid="{80A2FBD3-B3B1-4159-ACEE-77C567110E29}"/>
    <cellStyle name="Normal 4 3 3 2 2 4 4" xfId="10214" xr:uid="{DDFE4EB5-9A1E-4FB2-9645-7F759E805FB7}"/>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ACE857FD-ABAB-4D74-9BC3-A00A60E594FA}"/>
    <cellStyle name="Normal 4 3 3 2 2 5 2 3" xfId="12772" xr:uid="{1D5CF37D-A3D3-488A-A2E2-7D3BF01C4190}"/>
    <cellStyle name="Normal 4 3 3 2 2 5 3" xfId="6403" xr:uid="{00000000-0005-0000-0000-00006F140000}"/>
    <cellStyle name="Normal 4 3 3 2 2 5 3 2" xfId="14845" xr:uid="{CC14F379-932E-4682-8CC0-0F40B8ECFA76}"/>
    <cellStyle name="Normal 4 3 3 2 2 5 4" xfId="10627" xr:uid="{9FE2AFDB-4565-462A-8F0C-03D97B0C4A2E}"/>
    <cellStyle name="Normal 4 3 3 2 2 6" xfId="2532" xr:uid="{00000000-0005-0000-0000-000070140000}"/>
    <cellStyle name="Normal 4 3 3 2 2 6 2" xfId="6816" xr:uid="{00000000-0005-0000-0000-000071140000}"/>
    <cellStyle name="Normal 4 3 3 2 2 6 2 2" xfId="15258" xr:uid="{C699136D-C726-4C8C-9B36-D18FB4DA653C}"/>
    <cellStyle name="Normal 4 3 3 2 2 6 3" xfId="11040" xr:uid="{B63C3D16-CBBD-42DC-AB8C-2C30BFB4CC78}"/>
    <cellStyle name="Normal 4 3 3 2 2 7" xfId="4751" xr:uid="{00000000-0005-0000-0000-000072140000}"/>
    <cellStyle name="Normal 4 3 3 2 2 7 2" xfId="13193" xr:uid="{91607299-413F-49CF-8947-64F71CDD10FD}"/>
    <cellStyle name="Normal 4 3 3 2 2 8" xfId="8975" xr:uid="{EDD1759D-CB66-4D95-8989-49C4F3EAD302}"/>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302185F8-73B9-4F0E-8BA8-41F5D878AE6F}"/>
    <cellStyle name="Normal 4 3 3 2 3 2 3" xfId="11532" xr:uid="{D24165EE-DEC6-400D-989E-8F04D6D03401}"/>
    <cellStyle name="Normal 4 3 3 2 3 3" xfId="5163" xr:uid="{00000000-0005-0000-0000-000076140000}"/>
    <cellStyle name="Normal 4 3 3 2 3 3 2" xfId="13605" xr:uid="{477B007E-A4F3-40A9-8FF1-A8909BB40885}"/>
    <cellStyle name="Normal 4 3 3 2 3 4" xfId="9387" xr:uid="{FF7757AB-00BE-4AB1-83D3-74547D190CE5}"/>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4529B876-12FB-4683-999D-873B51151CCE}"/>
    <cellStyle name="Normal 4 3 3 2 4 2 3" xfId="11945" xr:uid="{B2E159EF-1F66-4C5C-853F-98EB4B2DF622}"/>
    <cellStyle name="Normal 4 3 3 2 4 3" xfId="5576" xr:uid="{00000000-0005-0000-0000-00007A140000}"/>
    <cellStyle name="Normal 4 3 3 2 4 3 2" xfId="14018" xr:uid="{6B11B74C-61F9-4D9E-B9DD-596BBD1A9273}"/>
    <cellStyle name="Normal 4 3 3 2 4 4" xfId="9800" xr:uid="{DE997AE6-8A09-4087-B22F-525D52F36458}"/>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3FBBBFD1-B7BB-4E98-B96E-826D18767A01}"/>
    <cellStyle name="Normal 4 3 3 2 5 2 3" xfId="12358" xr:uid="{0EF2B5E0-71B7-4F43-B751-6893CBB7E66A}"/>
    <cellStyle name="Normal 4 3 3 2 5 3" xfId="5989" xr:uid="{00000000-0005-0000-0000-00007E140000}"/>
    <cellStyle name="Normal 4 3 3 2 5 3 2" xfId="14431" xr:uid="{07D27FCE-4076-44C7-A552-1CBDEF118F1A}"/>
    <cellStyle name="Normal 4 3 3 2 5 4" xfId="10213" xr:uid="{8B142FD0-2C1D-41B6-8447-27C58B177771}"/>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4B1214D4-989E-4428-9AC2-A271D6CE33B9}"/>
    <cellStyle name="Normal 4 3 3 2 6 2 3" xfId="12771" xr:uid="{8F6FBE19-FDDF-4AEE-A8F9-0428D905C0A9}"/>
    <cellStyle name="Normal 4 3 3 2 6 3" xfId="6402" xr:uid="{00000000-0005-0000-0000-000082140000}"/>
    <cellStyle name="Normal 4 3 3 2 6 3 2" xfId="14844" xr:uid="{783831DB-FEE5-42A3-9BC0-8783F65B2963}"/>
    <cellStyle name="Normal 4 3 3 2 6 4" xfId="10626" xr:uid="{A48A3491-4285-467A-8572-A80F21876D30}"/>
    <cellStyle name="Normal 4 3 3 2 7" xfId="2531" xr:uid="{00000000-0005-0000-0000-000083140000}"/>
    <cellStyle name="Normal 4 3 3 2 7 2" xfId="6815" xr:uid="{00000000-0005-0000-0000-000084140000}"/>
    <cellStyle name="Normal 4 3 3 2 7 2 2" xfId="15257" xr:uid="{AC0F4867-8DFE-4A9A-82D3-BEDF6BF6C7EE}"/>
    <cellStyle name="Normal 4 3 3 2 7 3" xfId="11039" xr:uid="{C09C9E63-943E-4C6C-8A2D-24BBDC24DBC9}"/>
    <cellStyle name="Normal 4 3 3 2 8" xfId="4750" xr:uid="{00000000-0005-0000-0000-000085140000}"/>
    <cellStyle name="Normal 4 3 3 2 8 2" xfId="13192" xr:uid="{75691030-FFDF-4E5F-B712-845A811DC222}"/>
    <cellStyle name="Normal 4 3 3 2 9" xfId="8974" xr:uid="{88C660FC-ABFF-4DE4-98F0-C80B11634794}"/>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B6DA87BE-B6AD-46D9-85BA-010F2EAEFCBF}"/>
    <cellStyle name="Normal 4 3 3 3 2 2 3" xfId="11534" xr:uid="{365E45A6-5060-4AE2-9AD9-05146014CA2E}"/>
    <cellStyle name="Normal 4 3 3 3 2 3" xfId="5165" xr:uid="{00000000-0005-0000-0000-00008A140000}"/>
    <cellStyle name="Normal 4 3 3 3 2 3 2" xfId="13607" xr:uid="{EFF48CC3-72B3-4EDF-9391-7F2CAA8A928F}"/>
    <cellStyle name="Normal 4 3 3 3 2 4" xfId="9389" xr:uid="{1017D397-A3ED-4ABB-93B8-03AFC860C02E}"/>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150A7396-CE02-49CC-8169-C23478C48BE0}"/>
    <cellStyle name="Normal 4 3 3 3 3 2 3" xfId="11947" xr:uid="{0FCF2695-D547-44C1-86B8-922DF56C8C78}"/>
    <cellStyle name="Normal 4 3 3 3 3 3" xfId="5578" xr:uid="{00000000-0005-0000-0000-00008E140000}"/>
    <cellStyle name="Normal 4 3 3 3 3 3 2" xfId="14020" xr:uid="{D7A7D5CF-28CB-475B-9B06-5DAF88D53004}"/>
    <cellStyle name="Normal 4 3 3 3 3 4" xfId="9802" xr:uid="{2B676538-F7E7-48D0-BE8A-1AC65CD6432C}"/>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379C43DF-DAC4-4BEE-BFF3-F0AABEAA5285}"/>
    <cellStyle name="Normal 4 3 3 3 4 2 3" xfId="12360" xr:uid="{12586625-10F5-4565-B3C9-DF2EC18E91B5}"/>
    <cellStyle name="Normal 4 3 3 3 4 3" xfId="5991" xr:uid="{00000000-0005-0000-0000-000092140000}"/>
    <cellStyle name="Normal 4 3 3 3 4 3 2" xfId="14433" xr:uid="{8CF22406-483A-4ADF-B7E0-8321AE94DCAE}"/>
    <cellStyle name="Normal 4 3 3 3 4 4" xfId="10215" xr:uid="{FD077ECA-5505-47EC-91D6-5B76B1BB1F9F}"/>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AB4518F4-CE83-48C5-A18D-1D502ADCEDB4}"/>
    <cellStyle name="Normal 4 3 3 3 5 2 3" xfId="12773" xr:uid="{AC4BD42A-35B0-4186-97C5-81F358E1E9DC}"/>
    <cellStyle name="Normal 4 3 3 3 5 3" xfId="6404" xr:uid="{00000000-0005-0000-0000-000096140000}"/>
    <cellStyle name="Normal 4 3 3 3 5 3 2" xfId="14846" xr:uid="{889F53B0-5C50-4295-9AB7-6B7E40C73644}"/>
    <cellStyle name="Normal 4 3 3 3 5 4" xfId="10628" xr:uid="{8DFFA01E-15F0-4BD3-A68B-A21A999B38C3}"/>
    <cellStyle name="Normal 4 3 3 3 6" xfId="2533" xr:uid="{00000000-0005-0000-0000-000097140000}"/>
    <cellStyle name="Normal 4 3 3 3 6 2" xfId="6817" xr:uid="{00000000-0005-0000-0000-000098140000}"/>
    <cellStyle name="Normal 4 3 3 3 6 2 2" xfId="15259" xr:uid="{1E6611A1-818B-4B86-A803-9D3F32827BA7}"/>
    <cellStyle name="Normal 4 3 3 3 6 3" xfId="11041" xr:uid="{4364A1A6-9C40-4A2E-9FF0-DFDD4088196A}"/>
    <cellStyle name="Normal 4 3 3 3 7" xfId="4752" xr:uid="{00000000-0005-0000-0000-000099140000}"/>
    <cellStyle name="Normal 4 3 3 3 7 2" xfId="13194" xr:uid="{A6C1ACCB-64F5-44C9-8469-988BAB190192}"/>
    <cellStyle name="Normal 4 3 3 3 8" xfId="8976" xr:uid="{2427D202-DF81-432D-A354-29A4706F686F}"/>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7D5DD701-8298-4B5C-B5A6-A55DB2C6C5C9}"/>
    <cellStyle name="Normal 4 3 3 4 2 3" xfId="11531" xr:uid="{D10AC416-F6EB-4E79-AED3-D58599834235}"/>
    <cellStyle name="Normal 4 3 3 4 3" xfId="5162" xr:uid="{00000000-0005-0000-0000-00009D140000}"/>
    <cellStyle name="Normal 4 3 3 4 3 2" xfId="13604" xr:uid="{4F19C105-F5A8-4880-B23E-4A353EB47427}"/>
    <cellStyle name="Normal 4 3 3 4 4" xfId="9386" xr:uid="{746496A9-129E-49FB-BEED-3EADE8A68F7E}"/>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A8991CC2-700C-40EB-82A2-653B28CFC21F}"/>
    <cellStyle name="Normal 4 3 3 5 2 3" xfId="11944" xr:uid="{F01EC022-CE11-4505-9D8F-EEAE962708DA}"/>
    <cellStyle name="Normal 4 3 3 5 3" xfId="5575" xr:uid="{00000000-0005-0000-0000-0000A1140000}"/>
    <cellStyle name="Normal 4 3 3 5 3 2" xfId="14017" xr:uid="{4A7453A3-D4F0-454B-8EE6-E933A0B63E4F}"/>
    <cellStyle name="Normal 4 3 3 5 4" xfId="9799" xr:uid="{A0F94E44-1D07-4FED-807D-C29E32EC1EB2}"/>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C2B734FE-DA83-4327-8954-5FCED5E3D001}"/>
    <cellStyle name="Normal 4 3 3 6 2 3" xfId="12357" xr:uid="{A273CDFD-A631-4AFC-94B4-EFD4AA0BD481}"/>
    <cellStyle name="Normal 4 3 3 6 3" xfId="5988" xr:uid="{00000000-0005-0000-0000-0000A5140000}"/>
    <cellStyle name="Normal 4 3 3 6 3 2" xfId="14430" xr:uid="{D4C72B6C-0899-4BBA-8A74-EBA71DED6FB3}"/>
    <cellStyle name="Normal 4 3 3 6 4" xfId="10212" xr:uid="{153C5C64-8AC7-4966-B4B7-E7ABDB669EEE}"/>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F94EE867-782A-4149-B286-0D371F1E34C2}"/>
    <cellStyle name="Normal 4 3 3 7 2 3" xfId="12770" xr:uid="{C204E74B-BB7A-4892-B28F-44F87D6284D3}"/>
    <cellStyle name="Normal 4 3 3 7 3" xfId="6401" xr:uid="{00000000-0005-0000-0000-0000A9140000}"/>
    <cellStyle name="Normal 4 3 3 7 3 2" xfId="14843" xr:uid="{C0A8F880-6D96-4011-B1AF-22DF3ED273D7}"/>
    <cellStyle name="Normal 4 3 3 7 4" xfId="10625" xr:uid="{D8F3AB07-5957-4FF6-B78E-0FDA8F013A88}"/>
    <cellStyle name="Normal 4 3 3 8" xfId="2530" xr:uid="{00000000-0005-0000-0000-0000AA140000}"/>
    <cellStyle name="Normal 4 3 3 8 2" xfId="6814" xr:uid="{00000000-0005-0000-0000-0000AB140000}"/>
    <cellStyle name="Normal 4 3 3 8 2 2" xfId="15256" xr:uid="{414C7267-D6C8-4949-ACC1-BFC3030FD226}"/>
    <cellStyle name="Normal 4 3 3 8 3" xfId="11038" xr:uid="{0344DCE5-8378-4CBA-A539-CF3270BF4037}"/>
    <cellStyle name="Normal 4 3 3 9" xfId="4749" xr:uid="{00000000-0005-0000-0000-0000AC140000}"/>
    <cellStyle name="Normal 4 3 3 9 2" xfId="13191" xr:uid="{C32B5E99-AE88-4BA3-A7A1-D1F515DEEA83}"/>
    <cellStyle name="Normal 4 3 4" xfId="842" xr:uid="{00000000-0005-0000-0000-0000AD140000}"/>
    <cellStyle name="Normal 4 3 4 2" xfId="3079" xr:uid="{00000000-0005-0000-0000-0000AE140000}"/>
    <cellStyle name="Normal 4 3 4 2 2" xfId="7302" xr:uid="{00000000-0005-0000-0000-0000AF140000}"/>
    <cellStyle name="Normal 4 3 4 2 2 2" xfId="15744" xr:uid="{B23174BC-6BE0-464B-930F-50A123E01A1D}"/>
    <cellStyle name="Normal 4 3 4 2 3" xfId="11526" xr:uid="{E8367803-0E4A-42E2-92B1-52C9BFE97D62}"/>
    <cellStyle name="Normal 4 3 4 3" xfId="5157" xr:uid="{00000000-0005-0000-0000-0000B0140000}"/>
    <cellStyle name="Normal 4 3 4 3 2" xfId="13599" xr:uid="{C07000C7-2ABA-4DDB-90BB-EAB14493B771}"/>
    <cellStyle name="Normal 4 3 4 4" xfId="9381" xr:uid="{3271B579-1732-48AA-BD61-86093657E17E}"/>
    <cellStyle name="Normal 4 3 5" xfId="1262" xr:uid="{00000000-0005-0000-0000-0000B1140000}"/>
    <cellStyle name="Normal 4 3 5 2" xfId="3492" xr:uid="{00000000-0005-0000-0000-0000B2140000}"/>
    <cellStyle name="Normal 4 3 5 2 2" xfId="7715" xr:uid="{00000000-0005-0000-0000-0000B3140000}"/>
    <cellStyle name="Normal 4 3 5 2 2 2" xfId="16157" xr:uid="{10A0829D-1989-41B5-833A-61DF04BB1BA5}"/>
    <cellStyle name="Normal 4 3 5 2 3" xfId="11939" xr:uid="{7403F3F1-B350-46CF-B4DA-15703FB2D7AC}"/>
    <cellStyle name="Normal 4 3 5 3" xfId="5570" xr:uid="{00000000-0005-0000-0000-0000B4140000}"/>
    <cellStyle name="Normal 4 3 5 3 2" xfId="14012" xr:uid="{B4CCA89C-65B7-429F-B002-9DF2C2E3C7A2}"/>
    <cellStyle name="Normal 4 3 5 4" xfId="9794" xr:uid="{369C3DD9-EDB8-40F9-A86A-B0D34DBED5A3}"/>
    <cellStyle name="Normal 4 3 6" xfId="1675" xr:uid="{00000000-0005-0000-0000-0000B5140000}"/>
    <cellStyle name="Normal 4 3 6 2" xfId="3905" xr:uid="{00000000-0005-0000-0000-0000B6140000}"/>
    <cellStyle name="Normal 4 3 6 2 2" xfId="8128" xr:uid="{00000000-0005-0000-0000-0000B7140000}"/>
    <cellStyle name="Normal 4 3 6 2 2 2" xfId="16570" xr:uid="{78BA75AE-011A-4A61-B7A1-6F8A5056A394}"/>
    <cellStyle name="Normal 4 3 6 2 3" xfId="12352" xr:uid="{C08C6C1C-4CEC-479E-9AD9-06025176DCED}"/>
    <cellStyle name="Normal 4 3 6 3" xfId="5983" xr:uid="{00000000-0005-0000-0000-0000B8140000}"/>
    <cellStyle name="Normal 4 3 6 3 2" xfId="14425" xr:uid="{4250E6F7-1910-4F0E-AD3B-ABD40B6D17CC}"/>
    <cellStyle name="Normal 4 3 6 4" xfId="10207" xr:uid="{58479DD0-F390-4A00-A1DA-64AA354BE017}"/>
    <cellStyle name="Normal 4 3 7" xfId="2089" xr:uid="{00000000-0005-0000-0000-0000B9140000}"/>
    <cellStyle name="Normal 4 3 7 2" xfId="4318" xr:uid="{00000000-0005-0000-0000-0000BA140000}"/>
    <cellStyle name="Normal 4 3 7 2 2" xfId="8541" xr:uid="{00000000-0005-0000-0000-0000BB140000}"/>
    <cellStyle name="Normal 4 3 7 2 2 2" xfId="16983" xr:uid="{21EED363-FC8A-4D18-AEBB-6837B39975DB}"/>
    <cellStyle name="Normal 4 3 7 2 3" xfId="12765" xr:uid="{08B5A195-0B31-428C-BC91-1A7F24B2ADAC}"/>
    <cellStyle name="Normal 4 3 7 3" xfId="6396" xr:uid="{00000000-0005-0000-0000-0000BC140000}"/>
    <cellStyle name="Normal 4 3 7 3 2" xfId="14838" xr:uid="{07E44418-CBBC-4E7F-A3A0-2E3A612081A2}"/>
    <cellStyle name="Normal 4 3 7 4" xfId="10620" xr:uid="{CD45732F-B8F0-46B5-8C13-874DC1ABBECF}"/>
    <cellStyle name="Normal 4 3 8" xfId="2525" xr:uid="{00000000-0005-0000-0000-0000BD140000}"/>
    <cellStyle name="Normal 4 3 8 2" xfId="6809" xr:uid="{00000000-0005-0000-0000-0000BE140000}"/>
    <cellStyle name="Normal 4 3 8 2 2" xfId="15251" xr:uid="{19C1E983-46C8-4E2B-8ADE-7B7E65CDDD0A}"/>
    <cellStyle name="Normal 4 3 8 3" xfId="11033" xr:uid="{CE5285E2-7DD5-4A6A-9F37-ACC2166D7708}"/>
    <cellStyle name="Normal 4 3 9" xfId="4744" xr:uid="{00000000-0005-0000-0000-0000BF140000}"/>
    <cellStyle name="Normal 4 3 9 2" xfId="13186" xr:uid="{AC8777C4-DFE0-488D-A623-02C96EFA3215}"/>
    <cellStyle name="Normal 4 4" xfId="378" xr:uid="{00000000-0005-0000-0000-0000C0140000}"/>
    <cellStyle name="Normal 4 4 10" xfId="2534" xr:uid="{00000000-0005-0000-0000-0000C1140000}"/>
    <cellStyle name="Normal 4 4 10 2" xfId="6818" xr:uid="{00000000-0005-0000-0000-0000C2140000}"/>
    <cellStyle name="Normal 4 4 10 2 2" xfId="15260" xr:uid="{053827A3-86EC-4D3A-B577-4A758C52F473}"/>
    <cellStyle name="Normal 4 4 10 3" xfId="11042" xr:uid="{3D1EE13D-AAE6-47AF-AC9F-CAD9086F2B20}"/>
    <cellStyle name="Normal 4 4 11" xfId="4753" xr:uid="{00000000-0005-0000-0000-0000C3140000}"/>
    <cellStyle name="Normal 4 4 11 2" xfId="13195" xr:uid="{DA79119E-69A3-49EC-9386-FD630197965A}"/>
    <cellStyle name="Normal 4 4 12" xfId="8977" xr:uid="{1D8E41DB-B285-4C8F-AC39-A8DC3E3EEC1C}"/>
    <cellStyle name="Normal 4 4 2" xfId="379" xr:uid="{00000000-0005-0000-0000-0000C4140000}"/>
    <cellStyle name="Normal 4 4 2 10" xfId="4754" xr:uid="{00000000-0005-0000-0000-0000C5140000}"/>
    <cellStyle name="Normal 4 4 2 10 2" xfId="13196" xr:uid="{28F03F3D-D369-4A2B-84D4-60E3ECB8CFF1}"/>
    <cellStyle name="Normal 4 4 2 11" xfId="8978" xr:uid="{C3072275-D05E-48C1-B499-2C3429FDFFDA}"/>
    <cellStyle name="Normal 4 4 2 2" xfId="380" xr:uid="{00000000-0005-0000-0000-0000C6140000}"/>
    <cellStyle name="Normal 4 4 2 2 10" xfId="8979" xr:uid="{0DB1FDC1-A4B9-43A2-A988-1786E33E0C2A}"/>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68014A1E-5599-4CAC-91F5-45C5C9385036}"/>
    <cellStyle name="Normal 4 4 2 2 2 2 2 2 3" xfId="11539" xr:uid="{D2201E70-8EF6-468E-B00A-196F9D476CB7}"/>
    <cellStyle name="Normal 4 4 2 2 2 2 2 3" xfId="5170" xr:uid="{00000000-0005-0000-0000-0000CC140000}"/>
    <cellStyle name="Normal 4 4 2 2 2 2 2 3 2" xfId="13612" xr:uid="{6A6A3251-217D-4161-B3C1-119CE8040318}"/>
    <cellStyle name="Normal 4 4 2 2 2 2 2 4" xfId="9394" xr:uid="{7A4FCF30-A513-4EDA-B7D1-B489D0C61E92}"/>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91216479-95CF-4B82-9123-84D79E999410}"/>
    <cellStyle name="Normal 4 4 2 2 2 2 3 2 3" xfId="11952" xr:uid="{B9500009-2690-4D9C-9E10-AB9E0898521F}"/>
    <cellStyle name="Normal 4 4 2 2 2 2 3 3" xfId="5583" xr:uid="{00000000-0005-0000-0000-0000D0140000}"/>
    <cellStyle name="Normal 4 4 2 2 2 2 3 3 2" xfId="14025" xr:uid="{EF2D8FC8-6BA3-4950-9AC1-26D605714863}"/>
    <cellStyle name="Normal 4 4 2 2 2 2 3 4" xfId="9807" xr:uid="{779FCE63-279F-437F-A4C7-22271758724F}"/>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A07F8D5C-1A25-4271-8239-03A3316D4F75}"/>
    <cellStyle name="Normal 4 4 2 2 2 2 4 2 3" xfId="12365" xr:uid="{AC430B18-C6E3-48B3-94A5-42588C270085}"/>
    <cellStyle name="Normal 4 4 2 2 2 2 4 3" xfId="5996" xr:uid="{00000000-0005-0000-0000-0000D4140000}"/>
    <cellStyle name="Normal 4 4 2 2 2 2 4 3 2" xfId="14438" xr:uid="{4FA9DF67-3C6F-4815-93E1-2CB705C4BA01}"/>
    <cellStyle name="Normal 4 4 2 2 2 2 4 4" xfId="10220" xr:uid="{B25CC268-0D89-4789-82C9-1ABE46FF20A3}"/>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3D4D3A10-CBA6-408F-B462-27A3976CE4AC}"/>
    <cellStyle name="Normal 4 4 2 2 2 2 5 2 3" xfId="12778" xr:uid="{B41473F8-BCD0-4610-8FD6-D89AF424CBE0}"/>
    <cellStyle name="Normal 4 4 2 2 2 2 5 3" xfId="6409" xr:uid="{00000000-0005-0000-0000-0000D8140000}"/>
    <cellStyle name="Normal 4 4 2 2 2 2 5 3 2" xfId="14851" xr:uid="{2249FE84-057B-4E26-94EF-9446EE8B5254}"/>
    <cellStyle name="Normal 4 4 2 2 2 2 5 4" xfId="10633" xr:uid="{D2A0DD6D-35C9-4F23-8090-8F3BA3983BF7}"/>
    <cellStyle name="Normal 4 4 2 2 2 2 6" xfId="2538" xr:uid="{00000000-0005-0000-0000-0000D9140000}"/>
    <cellStyle name="Normal 4 4 2 2 2 2 6 2" xfId="6822" xr:uid="{00000000-0005-0000-0000-0000DA140000}"/>
    <cellStyle name="Normal 4 4 2 2 2 2 6 2 2" xfId="15264" xr:uid="{6913AE3F-3582-464C-BF7D-F929E80E3472}"/>
    <cellStyle name="Normal 4 4 2 2 2 2 6 3" xfId="11046" xr:uid="{C60A2985-E11A-47C0-B10B-97C8F5FF0049}"/>
    <cellStyle name="Normal 4 4 2 2 2 2 7" xfId="4757" xr:uid="{00000000-0005-0000-0000-0000DB140000}"/>
    <cellStyle name="Normal 4 4 2 2 2 2 7 2" xfId="13199" xr:uid="{1AEF0BC7-E591-4A54-A075-4C50487BBA0D}"/>
    <cellStyle name="Normal 4 4 2 2 2 2 8" xfId="8981" xr:uid="{D9B33CAC-679F-43E9-926E-E0169A979E21}"/>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BC030814-C565-4684-8C8B-9E74F484581C}"/>
    <cellStyle name="Normal 4 4 2 2 2 3 2 3" xfId="11538" xr:uid="{9D171F5E-6B74-4BF6-A0C8-1EDF143BDB18}"/>
    <cellStyle name="Normal 4 4 2 2 2 3 3" xfId="5169" xr:uid="{00000000-0005-0000-0000-0000DF140000}"/>
    <cellStyle name="Normal 4 4 2 2 2 3 3 2" xfId="13611" xr:uid="{493B0A5C-66B9-4EAA-A67A-13876E94C9D0}"/>
    <cellStyle name="Normal 4 4 2 2 2 3 4" xfId="9393" xr:uid="{DC677E4F-7FA4-41B3-8846-8B68794C4BF5}"/>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E1821570-7827-4BAD-8B4D-61618D7F3F1E}"/>
    <cellStyle name="Normal 4 4 2 2 2 4 2 3" xfId="11951" xr:uid="{14372ACF-0550-4CAE-8470-FDEEC41ECCE5}"/>
    <cellStyle name="Normal 4 4 2 2 2 4 3" xfId="5582" xr:uid="{00000000-0005-0000-0000-0000E3140000}"/>
    <cellStyle name="Normal 4 4 2 2 2 4 3 2" xfId="14024" xr:uid="{7627431A-76B9-4BD6-8459-7D3FA924F1B1}"/>
    <cellStyle name="Normal 4 4 2 2 2 4 4" xfId="9806" xr:uid="{0CE2B951-F66C-435B-9CE1-B7CD9856996C}"/>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1AC7E327-FB29-4C88-A10A-12E86C0FB735}"/>
    <cellStyle name="Normal 4 4 2 2 2 5 2 3" xfId="12364" xr:uid="{B2B722E9-AFFE-4794-9071-B660711C5AA3}"/>
    <cellStyle name="Normal 4 4 2 2 2 5 3" xfId="5995" xr:uid="{00000000-0005-0000-0000-0000E7140000}"/>
    <cellStyle name="Normal 4 4 2 2 2 5 3 2" xfId="14437" xr:uid="{F05594A5-E723-4825-BBA7-64E71094601D}"/>
    <cellStyle name="Normal 4 4 2 2 2 5 4" xfId="10219" xr:uid="{1A2319F7-8292-4A37-A09D-BCF81788ABEF}"/>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8BD6829F-1CEF-40CF-90D7-30811D96DADF}"/>
    <cellStyle name="Normal 4 4 2 2 2 6 2 3" xfId="12777" xr:uid="{2F5090AA-DE16-4005-9717-286C27BC3EDB}"/>
    <cellStyle name="Normal 4 4 2 2 2 6 3" xfId="6408" xr:uid="{00000000-0005-0000-0000-0000EB140000}"/>
    <cellStyle name="Normal 4 4 2 2 2 6 3 2" xfId="14850" xr:uid="{AB3B1AC4-351C-4060-8686-D3DB08A07222}"/>
    <cellStyle name="Normal 4 4 2 2 2 6 4" xfId="10632" xr:uid="{40C22808-69CF-4480-B90A-C67B54D01778}"/>
    <cellStyle name="Normal 4 4 2 2 2 7" xfId="2537" xr:uid="{00000000-0005-0000-0000-0000EC140000}"/>
    <cellStyle name="Normal 4 4 2 2 2 7 2" xfId="6821" xr:uid="{00000000-0005-0000-0000-0000ED140000}"/>
    <cellStyle name="Normal 4 4 2 2 2 7 2 2" xfId="15263" xr:uid="{1A527B8C-2D94-43FF-A337-61A41159E76B}"/>
    <cellStyle name="Normal 4 4 2 2 2 7 3" xfId="11045" xr:uid="{F188AF5E-06B9-4F16-A52A-9DB14D00B5FD}"/>
    <cellStyle name="Normal 4 4 2 2 2 8" xfId="4756" xr:uid="{00000000-0005-0000-0000-0000EE140000}"/>
    <cellStyle name="Normal 4 4 2 2 2 8 2" xfId="13198" xr:uid="{CEA49888-BAEC-4AB3-ACE5-7F5A58388852}"/>
    <cellStyle name="Normal 4 4 2 2 2 9" xfId="8980" xr:uid="{A16F6493-E619-4C95-94D3-DD7C34581D32}"/>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C90921F4-528C-46B7-9D2F-025607E5472E}"/>
    <cellStyle name="Normal 4 4 2 2 3 2 2 3" xfId="11540" xr:uid="{572AB26B-21A1-4D66-9C6C-DA631A5C30A3}"/>
    <cellStyle name="Normal 4 4 2 2 3 2 3" xfId="5171" xr:uid="{00000000-0005-0000-0000-0000F3140000}"/>
    <cellStyle name="Normal 4 4 2 2 3 2 3 2" xfId="13613" xr:uid="{85B5F740-53F4-4377-A862-1865C76DFB05}"/>
    <cellStyle name="Normal 4 4 2 2 3 2 4" xfId="9395" xr:uid="{2081DAD2-87EE-450A-BBF2-457AB0987ABF}"/>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B3A4B341-B2F1-467E-87DA-ADCB79AB80BB}"/>
    <cellStyle name="Normal 4 4 2 2 3 3 2 3" xfId="11953" xr:uid="{18A30003-7CD1-473F-B380-F8C6722B4406}"/>
    <cellStyle name="Normal 4 4 2 2 3 3 3" xfId="5584" xr:uid="{00000000-0005-0000-0000-0000F7140000}"/>
    <cellStyle name="Normal 4 4 2 2 3 3 3 2" xfId="14026" xr:uid="{CD0673D5-1ECF-43AB-AE91-53F688D48E4A}"/>
    <cellStyle name="Normal 4 4 2 2 3 3 4" xfId="9808" xr:uid="{1B2B93F7-1D8E-4F12-B8EE-E7C46EA1881F}"/>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5A826703-ED36-458B-BAA9-2725D0FCAAD7}"/>
    <cellStyle name="Normal 4 4 2 2 3 4 2 3" xfId="12366" xr:uid="{4FA8D448-3EEB-414C-8869-1C2F015F4210}"/>
    <cellStyle name="Normal 4 4 2 2 3 4 3" xfId="5997" xr:uid="{00000000-0005-0000-0000-0000FB140000}"/>
    <cellStyle name="Normal 4 4 2 2 3 4 3 2" xfId="14439" xr:uid="{9BD16621-F80D-4BB6-86B9-40436664E9A8}"/>
    <cellStyle name="Normal 4 4 2 2 3 4 4" xfId="10221" xr:uid="{3CC64A2E-6EA1-400E-8054-137A0D084416}"/>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63DFEE51-2D1B-4F99-B531-A74782A3E32B}"/>
    <cellStyle name="Normal 4 4 2 2 3 5 2 3" xfId="12779" xr:uid="{8FD4E17E-72B0-4DC5-ADC4-3B939BBC19F2}"/>
    <cellStyle name="Normal 4 4 2 2 3 5 3" xfId="6410" xr:uid="{00000000-0005-0000-0000-0000FF140000}"/>
    <cellStyle name="Normal 4 4 2 2 3 5 3 2" xfId="14852" xr:uid="{7C457F0F-C278-45DA-8722-1D547BF98BA1}"/>
    <cellStyle name="Normal 4 4 2 2 3 5 4" xfId="10634" xr:uid="{AB300014-72AD-4152-BAF0-E0F29BAE15D2}"/>
    <cellStyle name="Normal 4 4 2 2 3 6" xfId="2539" xr:uid="{00000000-0005-0000-0000-000000150000}"/>
    <cellStyle name="Normal 4 4 2 2 3 6 2" xfId="6823" xr:uid="{00000000-0005-0000-0000-000001150000}"/>
    <cellStyle name="Normal 4 4 2 2 3 6 2 2" xfId="15265" xr:uid="{70B209A8-B4E4-4945-9337-E84147D5F752}"/>
    <cellStyle name="Normal 4 4 2 2 3 6 3" xfId="11047" xr:uid="{06969778-4054-489F-90D5-F78AD1C710F8}"/>
    <cellStyle name="Normal 4 4 2 2 3 7" xfId="4758" xr:uid="{00000000-0005-0000-0000-000002150000}"/>
    <cellStyle name="Normal 4 4 2 2 3 7 2" xfId="13200" xr:uid="{7B78FF05-5AB4-405C-A7F5-59C765C7DE1D}"/>
    <cellStyle name="Normal 4 4 2 2 3 8" xfId="8982" xr:uid="{C83A3F99-C172-4FE2-82AA-8829501075DC}"/>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AB681563-291E-4535-AE08-CC60CF8DADE3}"/>
    <cellStyle name="Normal 4 4 2 2 4 2 3" xfId="11537" xr:uid="{E0475B9A-A902-4550-9356-89F07197A619}"/>
    <cellStyle name="Normal 4 4 2 2 4 3" xfId="5168" xr:uid="{00000000-0005-0000-0000-000006150000}"/>
    <cellStyle name="Normal 4 4 2 2 4 3 2" xfId="13610" xr:uid="{EFB4C588-C1F7-4D7C-BD18-9E285876E35A}"/>
    <cellStyle name="Normal 4 4 2 2 4 4" xfId="9392" xr:uid="{3AC73724-4365-44DB-80B8-99388484C210}"/>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9190DFFD-DD05-4AFC-AF17-D74E9BC2CAA8}"/>
    <cellStyle name="Normal 4 4 2 2 5 2 3" xfId="11950" xr:uid="{DAB80825-287A-43E6-B318-A4449C00C733}"/>
    <cellStyle name="Normal 4 4 2 2 5 3" xfId="5581" xr:uid="{00000000-0005-0000-0000-00000A150000}"/>
    <cellStyle name="Normal 4 4 2 2 5 3 2" xfId="14023" xr:uid="{EA311860-C802-4D84-A4DA-8796B072F32B}"/>
    <cellStyle name="Normal 4 4 2 2 5 4" xfId="9805" xr:uid="{C4BDBAFB-EBE6-4979-9AEC-7E6430EA5905}"/>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A64DD0B6-6689-4249-8A00-9B87BC67D9FC}"/>
    <cellStyle name="Normal 4 4 2 2 6 2 3" xfId="12363" xr:uid="{2A452027-A253-467E-97E8-CE50638155B7}"/>
    <cellStyle name="Normal 4 4 2 2 6 3" xfId="5994" xr:uid="{00000000-0005-0000-0000-00000E150000}"/>
    <cellStyle name="Normal 4 4 2 2 6 3 2" xfId="14436" xr:uid="{CE852837-7E10-4428-845D-8A701FEA231D}"/>
    <cellStyle name="Normal 4 4 2 2 6 4" xfId="10218" xr:uid="{39A3075C-F3D6-4F6E-923E-8F7A8CE2CCDB}"/>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C0F47DBA-B4B2-4ABF-BAF7-26AFB9219382}"/>
    <cellStyle name="Normal 4 4 2 2 7 2 3" xfId="12776" xr:uid="{4C9BD23F-62DF-4A18-832D-75AE99E50F93}"/>
    <cellStyle name="Normal 4 4 2 2 7 3" xfId="6407" xr:uid="{00000000-0005-0000-0000-000012150000}"/>
    <cellStyle name="Normal 4 4 2 2 7 3 2" xfId="14849" xr:uid="{C2B466FB-CEC4-4454-BC20-D232E0B47EC7}"/>
    <cellStyle name="Normal 4 4 2 2 7 4" xfId="10631" xr:uid="{5657EDC0-9108-49A7-9A46-F5C849FAE0B4}"/>
    <cellStyle name="Normal 4 4 2 2 8" xfId="2536" xr:uid="{00000000-0005-0000-0000-000013150000}"/>
    <cellStyle name="Normal 4 4 2 2 8 2" xfId="6820" xr:uid="{00000000-0005-0000-0000-000014150000}"/>
    <cellStyle name="Normal 4 4 2 2 8 2 2" xfId="15262" xr:uid="{F5A60011-05D0-4389-B1BE-9342228017F0}"/>
    <cellStyle name="Normal 4 4 2 2 8 3" xfId="11044" xr:uid="{DD7473B9-658B-42B1-8DDD-1CDEDB1E236A}"/>
    <cellStyle name="Normal 4 4 2 2 9" xfId="4755" xr:uid="{00000000-0005-0000-0000-000015150000}"/>
    <cellStyle name="Normal 4 4 2 2 9 2" xfId="13197" xr:uid="{837EE643-0368-4067-A315-C2E36EDCA5E5}"/>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4E1EEF49-B3A0-44E6-A45D-DD2AD970D2F3}"/>
    <cellStyle name="Normal 4 4 2 3 2 2 2 3" xfId="11542" xr:uid="{F410BB7A-3E6B-43F2-829A-E5870686FF78}"/>
    <cellStyle name="Normal 4 4 2 3 2 2 3" xfId="5173" xr:uid="{00000000-0005-0000-0000-00001B150000}"/>
    <cellStyle name="Normal 4 4 2 3 2 2 3 2" xfId="13615" xr:uid="{BAD5665F-A950-46E5-977F-64EF23FF7F1A}"/>
    <cellStyle name="Normal 4 4 2 3 2 2 4" xfId="9397" xr:uid="{48788327-26FA-44B3-A370-64B8A0BD96B7}"/>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8F8C951B-9358-4614-BB31-029B02816988}"/>
    <cellStyle name="Normal 4 4 2 3 2 3 2 3" xfId="11955" xr:uid="{08582145-D642-4E3F-B256-A88FEB19A866}"/>
    <cellStyle name="Normal 4 4 2 3 2 3 3" xfId="5586" xr:uid="{00000000-0005-0000-0000-00001F150000}"/>
    <cellStyle name="Normal 4 4 2 3 2 3 3 2" xfId="14028" xr:uid="{96B20D21-664E-4AF9-AB51-F6DD1BAF7E38}"/>
    <cellStyle name="Normal 4 4 2 3 2 3 4" xfId="9810" xr:uid="{8D59F737-A5AF-45F1-B3ED-9C08B6BBF6C3}"/>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4DD22600-4366-4E6E-B2F0-3457DD8C7139}"/>
    <cellStyle name="Normal 4 4 2 3 2 4 2 3" xfId="12368" xr:uid="{A210D800-A3A9-4773-BAB1-2A0220EC5B14}"/>
    <cellStyle name="Normal 4 4 2 3 2 4 3" xfId="5999" xr:uid="{00000000-0005-0000-0000-000023150000}"/>
    <cellStyle name="Normal 4 4 2 3 2 4 3 2" xfId="14441" xr:uid="{D49A3990-FB2D-4787-B5A1-9E7BE03EEAF4}"/>
    <cellStyle name="Normal 4 4 2 3 2 4 4" xfId="10223" xr:uid="{566DDEB2-0E8A-4B7E-AD42-503BF4271F2B}"/>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6389B70C-F38F-4930-B9A4-C3C0F401BFB0}"/>
    <cellStyle name="Normal 4 4 2 3 2 5 2 3" xfId="12781" xr:uid="{18398E38-56CE-48FF-A4D6-50F7D20A4BC8}"/>
    <cellStyle name="Normal 4 4 2 3 2 5 3" xfId="6412" xr:uid="{00000000-0005-0000-0000-000027150000}"/>
    <cellStyle name="Normal 4 4 2 3 2 5 3 2" xfId="14854" xr:uid="{80E9CCC2-FD0C-4FD6-9727-462AB076E262}"/>
    <cellStyle name="Normal 4 4 2 3 2 5 4" xfId="10636" xr:uid="{F41B0087-9ECA-4F86-9B0E-285EEFFBC58B}"/>
    <cellStyle name="Normal 4 4 2 3 2 6" xfId="2541" xr:uid="{00000000-0005-0000-0000-000028150000}"/>
    <cellStyle name="Normal 4 4 2 3 2 6 2" xfId="6825" xr:uid="{00000000-0005-0000-0000-000029150000}"/>
    <cellStyle name="Normal 4 4 2 3 2 6 2 2" xfId="15267" xr:uid="{25E183AA-8EC6-48D2-9801-9C219BDCB78F}"/>
    <cellStyle name="Normal 4 4 2 3 2 6 3" xfId="11049" xr:uid="{E3BC5C4F-2906-4106-A611-E9834D61240B}"/>
    <cellStyle name="Normal 4 4 2 3 2 7" xfId="4760" xr:uid="{00000000-0005-0000-0000-00002A150000}"/>
    <cellStyle name="Normal 4 4 2 3 2 7 2" xfId="13202" xr:uid="{A405AE3A-BA83-42B8-8A74-F389DFF22509}"/>
    <cellStyle name="Normal 4 4 2 3 2 8" xfId="8984" xr:uid="{667EA3F1-B71A-4A41-9208-D27BF43F1E75}"/>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2B20AB34-1AA7-4554-91C5-353F64FDC126}"/>
    <cellStyle name="Normal 4 4 2 3 3 2 3" xfId="11541" xr:uid="{C9467459-18CE-4010-8E05-577DD56EEDD4}"/>
    <cellStyle name="Normal 4 4 2 3 3 3" xfId="5172" xr:uid="{00000000-0005-0000-0000-00002E150000}"/>
    <cellStyle name="Normal 4 4 2 3 3 3 2" xfId="13614" xr:uid="{B0715273-B6E0-4DEF-9937-0DE1345D0667}"/>
    <cellStyle name="Normal 4 4 2 3 3 4" xfId="9396" xr:uid="{35BF9CF9-6F04-4429-8D96-04F5663327BB}"/>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3E8BF00D-33EB-4DDA-A5C4-BB624E9B15B0}"/>
    <cellStyle name="Normal 4 4 2 3 4 2 3" xfId="11954" xr:uid="{2B7631E7-F0CB-4680-8028-58B3D3EFE30C}"/>
    <cellStyle name="Normal 4 4 2 3 4 3" xfId="5585" xr:uid="{00000000-0005-0000-0000-000032150000}"/>
    <cellStyle name="Normal 4 4 2 3 4 3 2" xfId="14027" xr:uid="{93141435-A3A4-4A8A-B160-F8EACEDFD6DA}"/>
    <cellStyle name="Normal 4 4 2 3 4 4" xfId="9809" xr:uid="{5D893B8E-0359-4D53-9923-7B457846190B}"/>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8F1759C1-7A9D-4D01-862E-1CC27BCED13D}"/>
    <cellStyle name="Normal 4 4 2 3 5 2 3" xfId="12367" xr:uid="{6A266C55-CB77-4BAC-9417-8F4075BBA958}"/>
    <cellStyle name="Normal 4 4 2 3 5 3" xfId="5998" xr:uid="{00000000-0005-0000-0000-000036150000}"/>
    <cellStyle name="Normal 4 4 2 3 5 3 2" xfId="14440" xr:uid="{B312EFF7-5B14-438A-9124-38B2796195D5}"/>
    <cellStyle name="Normal 4 4 2 3 5 4" xfId="10222" xr:uid="{3B1E9025-AC66-4C66-8A7C-AA97AC894C37}"/>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3D5A4B8A-8FE9-4D5F-A55D-67A6D2AED874}"/>
    <cellStyle name="Normal 4 4 2 3 6 2 3" xfId="12780" xr:uid="{AF00C8AE-28B1-4649-A708-953D8A53052F}"/>
    <cellStyle name="Normal 4 4 2 3 6 3" xfId="6411" xr:uid="{00000000-0005-0000-0000-00003A150000}"/>
    <cellStyle name="Normal 4 4 2 3 6 3 2" xfId="14853" xr:uid="{0F4572B2-F963-4531-B32A-730E1AF9BBB8}"/>
    <cellStyle name="Normal 4 4 2 3 6 4" xfId="10635" xr:uid="{BA6DC6D1-1C66-488D-A419-B0BD37D9C7D3}"/>
    <cellStyle name="Normal 4 4 2 3 7" xfId="2540" xr:uid="{00000000-0005-0000-0000-00003B150000}"/>
    <cellStyle name="Normal 4 4 2 3 7 2" xfId="6824" xr:uid="{00000000-0005-0000-0000-00003C150000}"/>
    <cellStyle name="Normal 4 4 2 3 7 2 2" xfId="15266" xr:uid="{8CCD1A8B-986F-483C-9858-0A098D241F39}"/>
    <cellStyle name="Normal 4 4 2 3 7 3" xfId="11048" xr:uid="{AE3165D5-84A0-4ACE-A0A9-E9CEF9DB2E47}"/>
    <cellStyle name="Normal 4 4 2 3 8" xfId="4759" xr:uid="{00000000-0005-0000-0000-00003D150000}"/>
    <cellStyle name="Normal 4 4 2 3 8 2" xfId="13201" xr:uid="{A2648FBE-5794-4270-8B58-7180E8F4A31E}"/>
    <cellStyle name="Normal 4 4 2 3 9" xfId="8983" xr:uid="{D691290C-CB16-4338-973B-F15D97B9904A}"/>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FA798771-F2FD-4B88-8548-C6973619C72A}"/>
    <cellStyle name="Normal 4 4 2 4 2 2 3" xfId="11543" xr:uid="{6335816C-16F0-4F43-95BB-83454C4E6EBC}"/>
    <cellStyle name="Normal 4 4 2 4 2 3" xfId="5174" xr:uid="{00000000-0005-0000-0000-000042150000}"/>
    <cellStyle name="Normal 4 4 2 4 2 3 2" xfId="13616" xr:uid="{2FA6B957-9F84-4E71-A916-EBA84EF39623}"/>
    <cellStyle name="Normal 4 4 2 4 2 4" xfId="9398" xr:uid="{50108773-ED91-4C74-8DCA-1DEDDAB19897}"/>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D17B9205-540D-4B69-9363-B6A46900CD13}"/>
    <cellStyle name="Normal 4 4 2 4 3 2 3" xfId="11956" xr:uid="{FEDB6902-8F9C-4FA1-99DD-01BA64FAF934}"/>
    <cellStyle name="Normal 4 4 2 4 3 3" xfId="5587" xr:uid="{00000000-0005-0000-0000-000046150000}"/>
    <cellStyle name="Normal 4 4 2 4 3 3 2" xfId="14029" xr:uid="{D248768D-700A-4CD1-9341-3F94C8A5D1BC}"/>
    <cellStyle name="Normal 4 4 2 4 3 4" xfId="9811" xr:uid="{0AE97F86-2049-4435-B47C-066A75F9D89B}"/>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14CABC5D-4D24-4BFD-98EE-261D023C479C}"/>
    <cellStyle name="Normal 4 4 2 4 4 2 3" xfId="12369" xr:uid="{8523C0EE-31FA-418E-9FF4-8294BD9D5D0E}"/>
    <cellStyle name="Normal 4 4 2 4 4 3" xfId="6000" xr:uid="{00000000-0005-0000-0000-00004A150000}"/>
    <cellStyle name="Normal 4 4 2 4 4 3 2" xfId="14442" xr:uid="{043C37F4-CCD4-47E7-B049-31A8AFBD64C2}"/>
    <cellStyle name="Normal 4 4 2 4 4 4" xfId="10224" xr:uid="{6679CCD3-BB34-4B15-BAAF-16E0DF5AD2CF}"/>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D19B7A8B-5F3C-42C0-85B3-E784544416B9}"/>
    <cellStyle name="Normal 4 4 2 4 5 2 3" xfId="12782" xr:uid="{7BDE0210-D0C6-41FB-8814-B558958E9A62}"/>
    <cellStyle name="Normal 4 4 2 4 5 3" xfId="6413" xr:uid="{00000000-0005-0000-0000-00004E150000}"/>
    <cellStyle name="Normal 4 4 2 4 5 3 2" xfId="14855" xr:uid="{B075A3FB-4EED-4CF8-A916-4BA23282D03E}"/>
    <cellStyle name="Normal 4 4 2 4 5 4" xfId="10637" xr:uid="{5824ED8E-603D-42C9-B526-083EC024DC31}"/>
    <cellStyle name="Normal 4 4 2 4 6" xfId="2542" xr:uid="{00000000-0005-0000-0000-00004F150000}"/>
    <cellStyle name="Normal 4 4 2 4 6 2" xfId="6826" xr:uid="{00000000-0005-0000-0000-000050150000}"/>
    <cellStyle name="Normal 4 4 2 4 6 2 2" xfId="15268" xr:uid="{CECB669C-4081-425F-B463-B6B17F77C3D2}"/>
    <cellStyle name="Normal 4 4 2 4 6 3" xfId="11050" xr:uid="{534B9767-A428-41CD-A91B-EE0229C364C5}"/>
    <cellStyle name="Normal 4 4 2 4 7" xfId="4761" xr:uid="{00000000-0005-0000-0000-000051150000}"/>
    <cellStyle name="Normal 4 4 2 4 7 2" xfId="13203" xr:uid="{C802316D-BB0C-4D6E-909A-0B0A4FB0B2E9}"/>
    <cellStyle name="Normal 4 4 2 4 8" xfId="8985" xr:uid="{F219D62C-736D-46CC-A46F-F2A351F342E4}"/>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9A5C4743-AB63-453E-809E-3A7B0F8A30CE}"/>
    <cellStyle name="Normal 4 4 2 5 2 3" xfId="11536" xr:uid="{3D3EA9D6-57D0-447A-8D9E-7C49AA131226}"/>
    <cellStyle name="Normal 4 4 2 5 3" xfId="5167" xr:uid="{00000000-0005-0000-0000-000055150000}"/>
    <cellStyle name="Normal 4 4 2 5 3 2" xfId="13609" xr:uid="{FFAED3B8-1AA5-4380-8C11-A136A01A923D}"/>
    <cellStyle name="Normal 4 4 2 5 4" xfId="9391" xr:uid="{D709E867-69A5-44DA-80FE-4154452AA197}"/>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1733DB3A-81D0-441F-B754-D5EA55E5542E}"/>
    <cellStyle name="Normal 4 4 2 6 2 3" xfId="11949" xr:uid="{E0CBA55C-3A5E-4352-8C0F-348B7601D9BF}"/>
    <cellStyle name="Normal 4 4 2 6 3" xfId="5580" xr:uid="{00000000-0005-0000-0000-000059150000}"/>
    <cellStyle name="Normal 4 4 2 6 3 2" xfId="14022" xr:uid="{EFEB82D0-D633-4052-9AD4-4538ECE217CD}"/>
    <cellStyle name="Normal 4 4 2 6 4" xfId="9804" xr:uid="{791BFB0D-7A66-490D-BFAA-030B4EAC418A}"/>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E03A2B55-0A2A-48B7-BFE7-028CB22E6FF6}"/>
    <cellStyle name="Normal 4 4 2 7 2 3" xfId="12362" xr:uid="{692F32C0-05C9-4611-AD14-9EB9ABCF34C6}"/>
    <cellStyle name="Normal 4 4 2 7 3" xfId="5993" xr:uid="{00000000-0005-0000-0000-00005D150000}"/>
    <cellStyle name="Normal 4 4 2 7 3 2" xfId="14435" xr:uid="{FCBC7B6A-4576-4D8B-9B7D-040616BD1AC7}"/>
    <cellStyle name="Normal 4 4 2 7 4" xfId="10217" xr:uid="{85D23307-EDDF-4117-A421-632BCE55673B}"/>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4CC9F1A2-AAAE-421E-A8EF-42D5D1D2A8E9}"/>
    <cellStyle name="Normal 4 4 2 8 2 3" xfId="12775" xr:uid="{C4F2A1B2-D704-4D06-9F4C-388099B2FC90}"/>
    <cellStyle name="Normal 4 4 2 8 3" xfId="6406" xr:uid="{00000000-0005-0000-0000-000061150000}"/>
    <cellStyle name="Normal 4 4 2 8 3 2" xfId="14848" xr:uid="{75B8A690-A9E2-41A1-9741-2A786568E08F}"/>
    <cellStyle name="Normal 4 4 2 8 4" xfId="10630" xr:uid="{5878584B-C4BF-416F-89EE-311554FC8C85}"/>
    <cellStyle name="Normal 4 4 2 9" xfId="2535" xr:uid="{00000000-0005-0000-0000-000062150000}"/>
    <cellStyle name="Normal 4 4 2 9 2" xfId="6819" xr:uid="{00000000-0005-0000-0000-000063150000}"/>
    <cellStyle name="Normal 4 4 2 9 2 2" xfId="15261" xr:uid="{85B8AED7-6BAA-4433-943A-DF526DA1732D}"/>
    <cellStyle name="Normal 4 4 2 9 3" xfId="11043" xr:uid="{B4014E51-DB0D-4027-871F-37F5E1D980F9}"/>
    <cellStyle name="Normal 4 4 3" xfId="387" xr:uid="{00000000-0005-0000-0000-000064150000}"/>
    <cellStyle name="Normal 4 4 3 10" xfId="8986" xr:uid="{9431D0AA-AAE9-46CB-9601-759191E4585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4DE455C9-C2A1-41C4-8003-8E43434C7471}"/>
    <cellStyle name="Normal 4 4 3 2 2 2 2 3" xfId="11546" xr:uid="{7181F12F-A8D8-4319-8331-056EE6059E21}"/>
    <cellStyle name="Normal 4 4 3 2 2 2 3" xfId="5177" xr:uid="{00000000-0005-0000-0000-00006A150000}"/>
    <cellStyle name="Normal 4 4 3 2 2 2 3 2" xfId="13619" xr:uid="{F4A549A3-ADF6-4F12-95B3-8613E9AC70C9}"/>
    <cellStyle name="Normal 4 4 3 2 2 2 4" xfId="9401" xr:uid="{604DFD8B-BD76-430F-8DE7-E91BCE0EA8F5}"/>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7183AFE7-C4DE-4F39-ADA8-8DBD0447ECE3}"/>
    <cellStyle name="Normal 4 4 3 2 2 3 2 3" xfId="11959" xr:uid="{FB9BB214-16B2-4C7B-BEB6-8BF0AFAAB461}"/>
    <cellStyle name="Normal 4 4 3 2 2 3 3" xfId="5590" xr:uid="{00000000-0005-0000-0000-00006E150000}"/>
    <cellStyle name="Normal 4 4 3 2 2 3 3 2" xfId="14032" xr:uid="{C26B3ECA-E9BD-49CB-A2B8-4EDFADD4CFF9}"/>
    <cellStyle name="Normal 4 4 3 2 2 3 4" xfId="9814" xr:uid="{19A8A3CF-245D-4A39-ABEF-8258B8D6C244}"/>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10685F2A-F4FC-40FB-B88C-E60947814BC3}"/>
    <cellStyle name="Normal 4 4 3 2 2 4 2 3" xfId="12372" xr:uid="{89EEB149-DA40-45E6-A769-BC3FA024B1F6}"/>
    <cellStyle name="Normal 4 4 3 2 2 4 3" xfId="6003" xr:uid="{00000000-0005-0000-0000-000072150000}"/>
    <cellStyle name="Normal 4 4 3 2 2 4 3 2" xfId="14445" xr:uid="{3A46C250-5CD8-498C-B670-933DC9D2F801}"/>
    <cellStyle name="Normal 4 4 3 2 2 4 4" xfId="10227" xr:uid="{CE545DC9-3737-49E1-AAC8-A4C80FD4C17E}"/>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43E104A8-1069-4C1A-B6DB-D09DA0ED3455}"/>
    <cellStyle name="Normal 4 4 3 2 2 5 2 3" xfId="12785" xr:uid="{BD699969-8E94-4548-8181-F2DE96600080}"/>
    <cellStyle name="Normal 4 4 3 2 2 5 3" xfId="6416" xr:uid="{00000000-0005-0000-0000-000076150000}"/>
    <cellStyle name="Normal 4 4 3 2 2 5 3 2" xfId="14858" xr:uid="{680BDA90-AF53-4892-A012-6BA6C2F35D5B}"/>
    <cellStyle name="Normal 4 4 3 2 2 5 4" xfId="10640" xr:uid="{670709A6-977D-4856-869A-9AB26904DB83}"/>
    <cellStyle name="Normal 4 4 3 2 2 6" xfId="2545" xr:uid="{00000000-0005-0000-0000-000077150000}"/>
    <cellStyle name="Normal 4 4 3 2 2 6 2" xfId="6829" xr:uid="{00000000-0005-0000-0000-000078150000}"/>
    <cellStyle name="Normal 4 4 3 2 2 6 2 2" xfId="15271" xr:uid="{46C622AF-AFCD-4D96-969F-712DAFF497CD}"/>
    <cellStyle name="Normal 4 4 3 2 2 6 3" xfId="11053" xr:uid="{CA28C45C-CDE8-464A-AA95-3AF56EB52C3E}"/>
    <cellStyle name="Normal 4 4 3 2 2 7" xfId="4764" xr:uid="{00000000-0005-0000-0000-000079150000}"/>
    <cellStyle name="Normal 4 4 3 2 2 7 2" xfId="13206" xr:uid="{99E064F5-01EA-4DDA-995A-67916FA1BC9A}"/>
    <cellStyle name="Normal 4 4 3 2 2 8" xfId="8988" xr:uid="{066A7DDA-47E2-472F-AB65-D3C42CBE6A9B}"/>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F2ED5EAC-709B-4157-9FD0-7ECEBCC4FCD2}"/>
    <cellStyle name="Normal 4 4 3 2 3 2 3" xfId="11545" xr:uid="{78B4BCDC-B547-4F38-96E2-5F5D5329FF49}"/>
    <cellStyle name="Normal 4 4 3 2 3 3" xfId="5176" xr:uid="{00000000-0005-0000-0000-00007D150000}"/>
    <cellStyle name="Normal 4 4 3 2 3 3 2" xfId="13618" xr:uid="{D6EE682F-1958-4A2D-B5FF-5A308A3201A7}"/>
    <cellStyle name="Normal 4 4 3 2 3 4" xfId="9400" xr:uid="{1D75D224-956F-4A56-A498-497F9BA88E6B}"/>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1D911166-87C2-4CCB-A98C-DB88E9B04494}"/>
    <cellStyle name="Normal 4 4 3 2 4 2 3" xfId="11958" xr:uid="{2F480BC9-7ADE-465B-AAF8-EC0E58119C0A}"/>
    <cellStyle name="Normal 4 4 3 2 4 3" xfId="5589" xr:uid="{00000000-0005-0000-0000-000081150000}"/>
    <cellStyle name="Normal 4 4 3 2 4 3 2" xfId="14031" xr:uid="{DFB22F9C-45AB-4C3C-8C48-E772DD1F0BDB}"/>
    <cellStyle name="Normal 4 4 3 2 4 4" xfId="9813" xr:uid="{7135AF36-8C65-4FAC-80B1-94CFADE505E5}"/>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8DE076F9-B68C-42D2-A0F1-4157CE256D3C}"/>
    <cellStyle name="Normal 4 4 3 2 5 2 3" xfId="12371" xr:uid="{0FA37A2B-A7C6-4A19-842A-9C1B1E26682E}"/>
    <cellStyle name="Normal 4 4 3 2 5 3" xfId="6002" xr:uid="{00000000-0005-0000-0000-000085150000}"/>
    <cellStyle name="Normal 4 4 3 2 5 3 2" xfId="14444" xr:uid="{00C244CF-A299-4EF3-99CA-F9307CB946A8}"/>
    <cellStyle name="Normal 4 4 3 2 5 4" xfId="10226" xr:uid="{DBE7F9B7-4A24-4CBE-8A86-9A1D3DFCBACC}"/>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75297886-9482-456E-88F7-62213352EA71}"/>
    <cellStyle name="Normal 4 4 3 2 6 2 3" xfId="12784" xr:uid="{74794603-D7A9-4AE7-95DC-6C01BC8AA582}"/>
    <cellStyle name="Normal 4 4 3 2 6 3" xfId="6415" xr:uid="{00000000-0005-0000-0000-000089150000}"/>
    <cellStyle name="Normal 4 4 3 2 6 3 2" xfId="14857" xr:uid="{8180E5DD-E1DF-4148-BD06-32485776910D}"/>
    <cellStyle name="Normal 4 4 3 2 6 4" xfId="10639" xr:uid="{F6C23173-FEC3-4DC7-B0CD-F350256C2E56}"/>
    <cellStyle name="Normal 4 4 3 2 7" xfId="2544" xr:uid="{00000000-0005-0000-0000-00008A150000}"/>
    <cellStyle name="Normal 4 4 3 2 7 2" xfId="6828" xr:uid="{00000000-0005-0000-0000-00008B150000}"/>
    <cellStyle name="Normal 4 4 3 2 7 2 2" xfId="15270" xr:uid="{1A19F468-D1FF-40D1-B225-379A13DB9031}"/>
    <cellStyle name="Normal 4 4 3 2 7 3" xfId="11052" xr:uid="{DCA87A00-671C-41E6-8C70-32B872480FD1}"/>
    <cellStyle name="Normal 4 4 3 2 8" xfId="4763" xr:uid="{00000000-0005-0000-0000-00008C150000}"/>
    <cellStyle name="Normal 4 4 3 2 8 2" xfId="13205" xr:uid="{17BF9D9D-A763-49B0-BE23-DB115346EBE7}"/>
    <cellStyle name="Normal 4 4 3 2 9" xfId="8987" xr:uid="{C4082E7C-5355-4F5F-A789-535DBDA45004}"/>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B0C0608B-8013-4DBF-BFED-B6F07A71009C}"/>
    <cellStyle name="Normal 4 4 3 3 2 2 3" xfId="11547" xr:uid="{EE4C3134-863A-4A59-96CA-D41DCF7840BC}"/>
    <cellStyle name="Normal 4 4 3 3 2 3" xfId="5178" xr:uid="{00000000-0005-0000-0000-000091150000}"/>
    <cellStyle name="Normal 4 4 3 3 2 3 2" xfId="13620" xr:uid="{FDC82A5E-47A0-42C1-99C5-7D58B5163F62}"/>
    <cellStyle name="Normal 4 4 3 3 2 4" xfId="9402" xr:uid="{323D3C57-2F7F-4388-A7F0-D0294191310E}"/>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2297E000-71EB-4962-9B19-6A2E91BE3AC2}"/>
    <cellStyle name="Normal 4 4 3 3 3 2 3" xfId="11960" xr:uid="{7ED7DED4-B909-41D9-A817-60A385F68184}"/>
    <cellStyle name="Normal 4 4 3 3 3 3" xfId="5591" xr:uid="{00000000-0005-0000-0000-000095150000}"/>
    <cellStyle name="Normal 4 4 3 3 3 3 2" xfId="14033" xr:uid="{526AB46F-7DCB-4924-9446-A5894041ECBB}"/>
    <cellStyle name="Normal 4 4 3 3 3 4" xfId="9815" xr:uid="{BA9E3A4A-3B8D-4A7A-A45F-1017AD6AAE85}"/>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7CE24064-2ABE-4F8A-98FB-68663C6A1FA7}"/>
    <cellStyle name="Normal 4 4 3 3 4 2 3" xfId="12373" xr:uid="{0E358A96-2CD7-48DB-B626-9836EDD06194}"/>
    <cellStyle name="Normal 4 4 3 3 4 3" xfId="6004" xr:uid="{00000000-0005-0000-0000-000099150000}"/>
    <cellStyle name="Normal 4 4 3 3 4 3 2" xfId="14446" xr:uid="{57D553F5-17D7-433B-9E8A-F2F06CA8A9B6}"/>
    <cellStyle name="Normal 4 4 3 3 4 4" xfId="10228" xr:uid="{FBDDC0F5-C001-44BE-902C-6697A9D32FE4}"/>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326D4244-8711-401C-A5F3-7532928C196D}"/>
    <cellStyle name="Normal 4 4 3 3 5 2 3" xfId="12786" xr:uid="{56800A2E-0BA8-4C6C-8E60-971B1BE65BCC}"/>
    <cellStyle name="Normal 4 4 3 3 5 3" xfId="6417" xr:uid="{00000000-0005-0000-0000-00009D150000}"/>
    <cellStyle name="Normal 4 4 3 3 5 3 2" xfId="14859" xr:uid="{1F0CDDA5-A326-4DDE-98C3-DFD9BF8BA5F7}"/>
    <cellStyle name="Normal 4 4 3 3 5 4" xfId="10641" xr:uid="{A688D116-2AB6-4EB9-B65A-D0E5652876EF}"/>
    <cellStyle name="Normal 4 4 3 3 6" xfId="2546" xr:uid="{00000000-0005-0000-0000-00009E150000}"/>
    <cellStyle name="Normal 4 4 3 3 6 2" xfId="6830" xr:uid="{00000000-0005-0000-0000-00009F150000}"/>
    <cellStyle name="Normal 4 4 3 3 6 2 2" xfId="15272" xr:uid="{396961C8-B866-44DA-A8AF-836F30FDB2A7}"/>
    <cellStyle name="Normal 4 4 3 3 6 3" xfId="11054" xr:uid="{6BE1C746-CE24-47BE-9645-03C7DEFC4FED}"/>
    <cellStyle name="Normal 4 4 3 3 7" xfId="4765" xr:uid="{00000000-0005-0000-0000-0000A0150000}"/>
    <cellStyle name="Normal 4 4 3 3 7 2" xfId="13207" xr:uid="{49264253-0EFE-4AC0-BEE8-FBEE00CB32D3}"/>
    <cellStyle name="Normal 4 4 3 3 8" xfId="8989" xr:uid="{47DD7698-08B3-43B0-93DF-6F0B4A6FAFB5}"/>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9E54B3A5-C276-41F2-B824-239777EC7C7C}"/>
    <cellStyle name="Normal 4 4 3 4 2 3" xfId="11544" xr:uid="{EF1AE888-3A12-4118-9B87-59BFD539812D}"/>
    <cellStyle name="Normal 4 4 3 4 3" xfId="5175" xr:uid="{00000000-0005-0000-0000-0000A4150000}"/>
    <cellStyle name="Normal 4 4 3 4 3 2" xfId="13617" xr:uid="{C957EE5B-5CEC-46AA-BEAC-5F661DF4370F}"/>
    <cellStyle name="Normal 4 4 3 4 4" xfId="9399" xr:uid="{F60F2708-1B6F-45F4-9D5D-B5BD1E20311B}"/>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B45D3D55-5896-4C48-A341-90715788429A}"/>
    <cellStyle name="Normal 4 4 3 5 2 3" xfId="11957" xr:uid="{0BB4390E-692F-4994-AA45-7ECE0461CB70}"/>
    <cellStyle name="Normal 4 4 3 5 3" xfId="5588" xr:uid="{00000000-0005-0000-0000-0000A8150000}"/>
    <cellStyle name="Normal 4 4 3 5 3 2" xfId="14030" xr:uid="{5CE3ECD7-4D9F-42DF-A629-C00C0FC67658}"/>
    <cellStyle name="Normal 4 4 3 5 4" xfId="9812" xr:uid="{36D66F9B-A370-4C9A-89C2-4A975A268306}"/>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139F0E59-86EF-4008-BE8E-2317E6619737}"/>
    <cellStyle name="Normal 4 4 3 6 2 3" xfId="12370" xr:uid="{67A0A443-B5E4-4ACE-BB6D-8FAD6B720BF4}"/>
    <cellStyle name="Normal 4 4 3 6 3" xfId="6001" xr:uid="{00000000-0005-0000-0000-0000AC150000}"/>
    <cellStyle name="Normal 4 4 3 6 3 2" xfId="14443" xr:uid="{15AB07A2-CBAF-40A5-8A5B-9EFEE11C6381}"/>
    <cellStyle name="Normal 4 4 3 6 4" xfId="10225" xr:uid="{E4F4317C-7E40-4C0A-8872-D67164F954C1}"/>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C81EFB89-7361-40B9-8F1E-2CAC28BD0658}"/>
    <cellStyle name="Normal 4 4 3 7 2 3" xfId="12783" xr:uid="{4E858082-0829-4199-BBCF-9F007272A879}"/>
    <cellStyle name="Normal 4 4 3 7 3" xfId="6414" xr:uid="{00000000-0005-0000-0000-0000B0150000}"/>
    <cellStyle name="Normal 4 4 3 7 3 2" xfId="14856" xr:uid="{89A6976B-8E00-44BB-A353-98141C8E9F97}"/>
    <cellStyle name="Normal 4 4 3 7 4" xfId="10638" xr:uid="{FDEA2048-21A7-4B43-931C-2BA6425DF6D0}"/>
    <cellStyle name="Normal 4 4 3 8" xfId="2543" xr:uid="{00000000-0005-0000-0000-0000B1150000}"/>
    <cellStyle name="Normal 4 4 3 8 2" xfId="6827" xr:uid="{00000000-0005-0000-0000-0000B2150000}"/>
    <cellStyle name="Normal 4 4 3 8 2 2" xfId="15269" xr:uid="{8A33D43B-CB88-4C7B-AAF4-79DD38FA5931}"/>
    <cellStyle name="Normal 4 4 3 8 3" xfId="11051" xr:uid="{F93A59A2-499B-4B39-9BE1-6281591CEA02}"/>
    <cellStyle name="Normal 4 4 3 9" xfId="4762" xr:uid="{00000000-0005-0000-0000-0000B3150000}"/>
    <cellStyle name="Normal 4 4 3 9 2" xfId="13204" xr:uid="{C152DE94-BBA0-423F-8684-5A5C18EE1D65}"/>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C65131B3-3135-4A21-88E7-1A8B8A8D512F}"/>
    <cellStyle name="Normal 4 4 4 2 2 2 3" xfId="11549" xr:uid="{136E06C7-A2CC-4251-BDF4-2666C27B901D}"/>
    <cellStyle name="Normal 4 4 4 2 2 3" xfId="5180" xr:uid="{00000000-0005-0000-0000-0000B9150000}"/>
    <cellStyle name="Normal 4 4 4 2 2 3 2" xfId="13622" xr:uid="{FCC3442B-2677-4A2B-BFD5-F48B1B7F6FD3}"/>
    <cellStyle name="Normal 4 4 4 2 2 4" xfId="9404" xr:uid="{49DEDE7C-929E-4A8F-9522-C8B3B9F27F4F}"/>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558EDAF5-F16B-4709-A5CF-E6C732E646B0}"/>
    <cellStyle name="Normal 4 4 4 2 3 2 3" xfId="11962" xr:uid="{25B9E88A-A75A-4CA1-8D82-2CB1293BB4D6}"/>
    <cellStyle name="Normal 4 4 4 2 3 3" xfId="5593" xr:uid="{00000000-0005-0000-0000-0000BD150000}"/>
    <cellStyle name="Normal 4 4 4 2 3 3 2" xfId="14035" xr:uid="{B725B0D0-CE3E-421A-965D-2D5E1BACF73A}"/>
    <cellStyle name="Normal 4 4 4 2 3 4" xfId="9817" xr:uid="{BB050382-A75D-4D67-B363-325B73659142}"/>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0B9370E3-3564-48AA-B3B2-484067FE6290}"/>
    <cellStyle name="Normal 4 4 4 2 4 2 3" xfId="12375" xr:uid="{3B3532BC-2DC0-48F3-B73B-DCF1C00C43B2}"/>
    <cellStyle name="Normal 4 4 4 2 4 3" xfId="6006" xr:uid="{00000000-0005-0000-0000-0000C1150000}"/>
    <cellStyle name="Normal 4 4 4 2 4 3 2" xfId="14448" xr:uid="{070AB199-3793-4002-ABDE-DCCD0736498C}"/>
    <cellStyle name="Normal 4 4 4 2 4 4" xfId="10230" xr:uid="{58F4FB43-4657-4EDF-B1A8-4FB8FF61CF8B}"/>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C26D0BD3-9A2F-48FE-A629-42B0B8B95DB8}"/>
    <cellStyle name="Normal 4 4 4 2 5 2 3" xfId="12788" xr:uid="{95BFAB65-0003-4A39-863B-259F7EF8BD5C}"/>
    <cellStyle name="Normal 4 4 4 2 5 3" xfId="6419" xr:uid="{00000000-0005-0000-0000-0000C5150000}"/>
    <cellStyle name="Normal 4 4 4 2 5 3 2" xfId="14861" xr:uid="{909492A4-9E65-4C3D-B41F-3BF4EBFABF19}"/>
    <cellStyle name="Normal 4 4 4 2 5 4" xfId="10643" xr:uid="{4331BEBB-2259-4417-9078-77B0A5A6827B}"/>
    <cellStyle name="Normal 4 4 4 2 6" xfId="2548" xr:uid="{00000000-0005-0000-0000-0000C6150000}"/>
    <cellStyle name="Normal 4 4 4 2 6 2" xfId="6832" xr:uid="{00000000-0005-0000-0000-0000C7150000}"/>
    <cellStyle name="Normal 4 4 4 2 6 2 2" xfId="15274" xr:uid="{C9678342-8D49-47CA-A260-91059A702B42}"/>
    <cellStyle name="Normal 4 4 4 2 6 3" xfId="11056" xr:uid="{3AAE1427-C8DD-4813-9575-DD482F624419}"/>
    <cellStyle name="Normal 4 4 4 2 7" xfId="4767" xr:uid="{00000000-0005-0000-0000-0000C8150000}"/>
    <cellStyle name="Normal 4 4 4 2 7 2" xfId="13209" xr:uid="{646856BE-892B-4744-B715-9FE8769BFC5E}"/>
    <cellStyle name="Normal 4 4 4 2 8" xfId="8991" xr:uid="{A690AE70-9CE2-4027-8344-2A491684CE8D}"/>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FB9C1B52-ED7B-49BC-B1D3-CDCF457BB841}"/>
    <cellStyle name="Normal 4 4 4 3 2 3" xfId="11548" xr:uid="{FE32F26E-8D4C-4742-A04E-586A1DD0A4ED}"/>
    <cellStyle name="Normal 4 4 4 3 3" xfId="5179" xr:uid="{00000000-0005-0000-0000-0000CC150000}"/>
    <cellStyle name="Normal 4 4 4 3 3 2" xfId="13621" xr:uid="{18E0FBF0-1276-47C5-8C04-EADEFEFC6EA4}"/>
    <cellStyle name="Normal 4 4 4 3 4" xfId="9403" xr:uid="{101B494C-B2E4-4EC5-AE5C-64985F52090B}"/>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E5FD887F-DFAC-40FA-BB5E-CB3DD2237665}"/>
    <cellStyle name="Normal 4 4 4 4 2 3" xfId="11961" xr:uid="{02A98A25-0952-4C44-8C8C-CC343A1AA89D}"/>
    <cellStyle name="Normal 4 4 4 4 3" xfId="5592" xr:uid="{00000000-0005-0000-0000-0000D0150000}"/>
    <cellStyle name="Normal 4 4 4 4 3 2" xfId="14034" xr:uid="{053E5B98-AB60-4197-AC8D-659C62844570}"/>
    <cellStyle name="Normal 4 4 4 4 4" xfId="9816" xr:uid="{57EF51D9-AC0D-4846-B9F8-4F8FC6E227EA}"/>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A4B2342E-3152-4E0A-A5C2-ECBBFAFC1194}"/>
    <cellStyle name="Normal 4 4 4 5 2 3" xfId="12374" xr:uid="{FF5D9800-1467-49D4-AB41-075326026388}"/>
    <cellStyle name="Normal 4 4 4 5 3" xfId="6005" xr:uid="{00000000-0005-0000-0000-0000D4150000}"/>
    <cellStyle name="Normal 4 4 4 5 3 2" xfId="14447" xr:uid="{EBAFBB0C-A826-4962-BF4C-A382E8CDA1F3}"/>
    <cellStyle name="Normal 4 4 4 5 4" xfId="10229" xr:uid="{BAABA98E-13C1-4DAD-AF46-731EAF598634}"/>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7A962361-3573-4607-8B8A-3E1D735F4D9C}"/>
    <cellStyle name="Normal 4 4 4 6 2 3" xfId="12787" xr:uid="{FB0F7D6C-8696-401B-9DF8-0B1E5DF67E9B}"/>
    <cellStyle name="Normal 4 4 4 6 3" xfId="6418" xr:uid="{00000000-0005-0000-0000-0000D8150000}"/>
    <cellStyle name="Normal 4 4 4 6 3 2" xfId="14860" xr:uid="{EAF43D46-B942-49FF-B6C0-5A0D4EEADA2D}"/>
    <cellStyle name="Normal 4 4 4 6 4" xfId="10642" xr:uid="{407B7279-E92A-4CC4-925C-1D726E0C1882}"/>
    <cellStyle name="Normal 4 4 4 7" xfId="2547" xr:uid="{00000000-0005-0000-0000-0000D9150000}"/>
    <cellStyle name="Normal 4 4 4 7 2" xfId="6831" xr:uid="{00000000-0005-0000-0000-0000DA150000}"/>
    <cellStyle name="Normal 4 4 4 7 2 2" xfId="15273" xr:uid="{0B3C02F9-1EEF-482C-8296-B1F43F36C44E}"/>
    <cellStyle name="Normal 4 4 4 7 3" xfId="11055" xr:uid="{C33CD839-8392-460C-8AA2-C65D815FE06A}"/>
    <cellStyle name="Normal 4 4 4 8" xfId="4766" xr:uid="{00000000-0005-0000-0000-0000DB150000}"/>
    <cellStyle name="Normal 4 4 4 8 2" xfId="13208" xr:uid="{877877FB-94CC-4AC1-B34C-BA859648060C}"/>
    <cellStyle name="Normal 4 4 4 9" xfId="8990" xr:uid="{05428BA8-1E8F-4E2F-8B31-3B1AC86BA2A6}"/>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47DB804C-A388-4343-B72A-9F959076F516}"/>
    <cellStyle name="Normal 4 4 5 2 2 3" xfId="11550" xr:uid="{18FEE4FE-5ED6-4B66-9706-5502E3684975}"/>
    <cellStyle name="Normal 4 4 5 2 3" xfId="5181" xr:uid="{00000000-0005-0000-0000-0000E0150000}"/>
    <cellStyle name="Normal 4 4 5 2 3 2" xfId="13623" xr:uid="{596D4E77-0461-4E48-A46C-36080246AEEB}"/>
    <cellStyle name="Normal 4 4 5 2 4" xfId="9405" xr:uid="{582E54EC-E45A-4F0B-8E3B-90D645391F03}"/>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003C6C75-3263-4DD7-B19B-9A8C801AE9CF}"/>
    <cellStyle name="Normal 4 4 5 3 2 3" xfId="11963" xr:uid="{6B2AF294-E12D-4052-9636-9DBFFFAFB923}"/>
    <cellStyle name="Normal 4 4 5 3 3" xfId="5594" xr:uid="{00000000-0005-0000-0000-0000E4150000}"/>
    <cellStyle name="Normal 4 4 5 3 3 2" xfId="14036" xr:uid="{9C1539F1-D2D6-4A54-863F-242E63754622}"/>
    <cellStyle name="Normal 4 4 5 3 4" xfId="9818" xr:uid="{2AC44890-E3B3-4F13-B097-85197F52FAA5}"/>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4A1F4CD7-0208-46B6-8732-D9E347A7282D}"/>
    <cellStyle name="Normal 4 4 5 4 2 3" xfId="12376" xr:uid="{401DAB83-1D39-4FEB-B3D4-1558971843F9}"/>
    <cellStyle name="Normal 4 4 5 4 3" xfId="6007" xr:uid="{00000000-0005-0000-0000-0000E8150000}"/>
    <cellStyle name="Normal 4 4 5 4 3 2" xfId="14449" xr:uid="{F1985851-2378-4530-8946-2001BA84F912}"/>
    <cellStyle name="Normal 4 4 5 4 4" xfId="10231" xr:uid="{E853FF73-FCFA-4A78-8326-7B9EA6579886}"/>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A38FE0F2-438B-4B1D-B56D-4DBDB4C73669}"/>
    <cellStyle name="Normal 4 4 5 5 2 3" xfId="12789" xr:uid="{0723EA46-B3E3-4484-89FC-891A7DA5B25F}"/>
    <cellStyle name="Normal 4 4 5 5 3" xfId="6420" xr:uid="{00000000-0005-0000-0000-0000EC150000}"/>
    <cellStyle name="Normal 4 4 5 5 3 2" xfId="14862" xr:uid="{5635BA98-4835-44D1-82DA-A17ECED32040}"/>
    <cellStyle name="Normal 4 4 5 5 4" xfId="10644" xr:uid="{615F98C2-51AA-4E6D-B444-6AD92E1A039C}"/>
    <cellStyle name="Normal 4 4 5 6" xfId="2549" xr:uid="{00000000-0005-0000-0000-0000ED150000}"/>
    <cellStyle name="Normal 4 4 5 6 2" xfId="6833" xr:uid="{00000000-0005-0000-0000-0000EE150000}"/>
    <cellStyle name="Normal 4 4 5 6 2 2" xfId="15275" xr:uid="{50EA95FB-183D-4F71-9887-ADAAA1E8FF8B}"/>
    <cellStyle name="Normal 4 4 5 6 3" xfId="11057" xr:uid="{F0535FAB-6836-4F41-AE93-7DA4DAC15858}"/>
    <cellStyle name="Normal 4 4 5 7" xfId="4768" xr:uid="{00000000-0005-0000-0000-0000EF150000}"/>
    <cellStyle name="Normal 4 4 5 7 2" xfId="13210" xr:uid="{A8B28C9B-4850-4EB5-B253-45C7B254468B}"/>
    <cellStyle name="Normal 4 4 5 8" xfId="8992" xr:uid="{4080EF53-EDA5-48E8-8020-22558D866649}"/>
    <cellStyle name="Normal 4 4 6" xfId="853" xr:uid="{00000000-0005-0000-0000-0000F0150000}"/>
    <cellStyle name="Normal 4 4 6 2" xfId="3088" xr:uid="{00000000-0005-0000-0000-0000F1150000}"/>
    <cellStyle name="Normal 4 4 6 2 2" xfId="7311" xr:uid="{00000000-0005-0000-0000-0000F2150000}"/>
    <cellStyle name="Normal 4 4 6 2 2 2" xfId="15753" xr:uid="{50208A94-3F49-47B4-87CB-58C1A285EDBD}"/>
    <cellStyle name="Normal 4 4 6 2 3" xfId="11535" xr:uid="{395B54C8-3DC2-4A6C-8E16-162EF5044550}"/>
    <cellStyle name="Normal 4 4 6 3" xfId="5166" xr:uid="{00000000-0005-0000-0000-0000F3150000}"/>
    <cellStyle name="Normal 4 4 6 3 2" xfId="13608" xr:uid="{0A7E99E8-AAE0-4584-B902-FAFDB905D505}"/>
    <cellStyle name="Normal 4 4 6 4" xfId="9390" xr:uid="{4AEAD3A9-6A76-47FD-BC4E-B1145B759F9F}"/>
    <cellStyle name="Normal 4 4 7" xfId="1271" xr:uid="{00000000-0005-0000-0000-0000F4150000}"/>
    <cellStyle name="Normal 4 4 7 2" xfId="3501" xr:uid="{00000000-0005-0000-0000-0000F5150000}"/>
    <cellStyle name="Normal 4 4 7 2 2" xfId="7724" xr:uid="{00000000-0005-0000-0000-0000F6150000}"/>
    <cellStyle name="Normal 4 4 7 2 2 2" xfId="16166" xr:uid="{78C9110B-CF33-442F-8CE4-DB29062DD4ED}"/>
    <cellStyle name="Normal 4 4 7 2 3" xfId="11948" xr:uid="{5ABC5BF6-A60E-4F7A-98ED-358A3061B527}"/>
    <cellStyle name="Normal 4 4 7 3" xfId="5579" xr:uid="{00000000-0005-0000-0000-0000F7150000}"/>
    <cellStyle name="Normal 4 4 7 3 2" xfId="14021" xr:uid="{8469357C-90A0-4942-913F-DF0D189B7667}"/>
    <cellStyle name="Normal 4 4 7 4" xfId="9803" xr:uid="{196B3C2C-E968-4179-8555-C45B173E8AEE}"/>
    <cellStyle name="Normal 4 4 8" xfId="1684" xr:uid="{00000000-0005-0000-0000-0000F8150000}"/>
    <cellStyle name="Normal 4 4 8 2" xfId="3914" xr:uid="{00000000-0005-0000-0000-0000F9150000}"/>
    <cellStyle name="Normal 4 4 8 2 2" xfId="8137" xr:uid="{00000000-0005-0000-0000-0000FA150000}"/>
    <cellStyle name="Normal 4 4 8 2 2 2" xfId="16579" xr:uid="{7A01A30B-C759-41CF-87B7-0544ABF0B591}"/>
    <cellStyle name="Normal 4 4 8 2 3" xfId="12361" xr:uid="{30C66375-DDD6-48D5-88CB-F766697D5716}"/>
    <cellStyle name="Normal 4 4 8 3" xfId="5992" xr:uid="{00000000-0005-0000-0000-0000FB150000}"/>
    <cellStyle name="Normal 4 4 8 3 2" xfId="14434" xr:uid="{7CEC9EDD-B2B8-47BA-BE16-E30A5814DD92}"/>
    <cellStyle name="Normal 4 4 8 4" xfId="10216" xr:uid="{3F90E1CC-A4F0-4DDE-82E3-958D547B3762}"/>
    <cellStyle name="Normal 4 4 9" xfId="2098" xr:uid="{00000000-0005-0000-0000-0000FC150000}"/>
    <cellStyle name="Normal 4 4 9 2" xfId="4327" xr:uid="{00000000-0005-0000-0000-0000FD150000}"/>
    <cellStyle name="Normal 4 4 9 2 2" xfId="8550" xr:uid="{00000000-0005-0000-0000-0000FE150000}"/>
    <cellStyle name="Normal 4 4 9 2 2 2" xfId="16992" xr:uid="{E79B439B-BB63-40C2-87BD-98F3C226F249}"/>
    <cellStyle name="Normal 4 4 9 2 3" xfId="12774" xr:uid="{E41F31F7-C183-490A-978C-03A0D7C8A3D6}"/>
    <cellStyle name="Normal 4 4 9 3" xfId="6405" xr:uid="{00000000-0005-0000-0000-0000FF150000}"/>
    <cellStyle name="Normal 4 4 9 3 2" xfId="14847" xr:uid="{8D62C78B-6D55-429B-9E38-2C4A9A1004A5}"/>
    <cellStyle name="Normal 4 4 9 4" xfId="10629" xr:uid="{FC370CDA-D73B-4B11-B772-3C7D92CFDA1C}"/>
    <cellStyle name="Normal 4 5" xfId="394" xr:uid="{00000000-0005-0000-0000-000000160000}"/>
    <cellStyle name="Normal 4 6" xfId="395" xr:uid="{00000000-0005-0000-0000-000001160000}"/>
    <cellStyle name="Normal 4 6 10" xfId="4769" xr:uid="{00000000-0005-0000-0000-000002160000}"/>
    <cellStyle name="Normal 4 6 10 2" xfId="13211" xr:uid="{8A814A6D-AB6D-4129-84AE-5FE41EF3E235}"/>
    <cellStyle name="Normal 4 6 11" xfId="8993" xr:uid="{5427ECC2-9F9E-4CEF-9A35-FC02C9CF15B7}"/>
    <cellStyle name="Normal 4 6 2" xfId="396" xr:uid="{00000000-0005-0000-0000-000003160000}"/>
    <cellStyle name="Normal 4 6 2 10" xfId="8994" xr:uid="{AC57D191-DAEA-4485-B8D5-76B40A723044}"/>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AD11880E-D87A-46E1-BF47-E3232E80067D}"/>
    <cellStyle name="Normal 4 6 2 2 2 2 2 3" xfId="11554" xr:uid="{E8F7F606-6A28-493C-BEFD-110EE0616789}"/>
    <cellStyle name="Normal 4 6 2 2 2 2 3" xfId="5185" xr:uid="{00000000-0005-0000-0000-000009160000}"/>
    <cellStyle name="Normal 4 6 2 2 2 2 3 2" xfId="13627" xr:uid="{BB716621-5503-4ADF-AB32-57401C3D2A57}"/>
    <cellStyle name="Normal 4 6 2 2 2 2 4" xfId="9409" xr:uid="{B8A1C707-A402-43B8-990E-67824122F9ED}"/>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8273D214-4388-4FD8-BF47-AABB938FE498}"/>
    <cellStyle name="Normal 4 6 2 2 2 3 2 3" xfId="11967" xr:uid="{D1CB5028-ECE2-4551-8E52-F6A772815259}"/>
    <cellStyle name="Normal 4 6 2 2 2 3 3" xfId="5598" xr:uid="{00000000-0005-0000-0000-00000D160000}"/>
    <cellStyle name="Normal 4 6 2 2 2 3 3 2" xfId="14040" xr:uid="{2B63A92C-1C6B-4CC9-8C80-8F5179545A8B}"/>
    <cellStyle name="Normal 4 6 2 2 2 3 4" xfId="9822" xr:uid="{C3C13DCD-BD58-425F-9133-D32A026AF9DA}"/>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353AAB0B-F7ED-48E8-8524-F738E6C7258C}"/>
    <cellStyle name="Normal 4 6 2 2 2 4 2 3" xfId="12380" xr:uid="{60BB8A93-8334-43BC-A373-719E69AABD69}"/>
    <cellStyle name="Normal 4 6 2 2 2 4 3" xfId="6011" xr:uid="{00000000-0005-0000-0000-000011160000}"/>
    <cellStyle name="Normal 4 6 2 2 2 4 3 2" xfId="14453" xr:uid="{562BA0F1-5382-43C8-B005-7B9BDBFE4FA3}"/>
    <cellStyle name="Normal 4 6 2 2 2 4 4" xfId="10235" xr:uid="{A51DFBC3-32CE-45B3-92F0-DC8A406048C5}"/>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08E4198F-EE72-470E-B579-FBBB70B3D8EB}"/>
    <cellStyle name="Normal 4 6 2 2 2 5 2 3" xfId="12793" xr:uid="{895CC046-5467-423E-989D-C55A28257F5F}"/>
    <cellStyle name="Normal 4 6 2 2 2 5 3" xfId="6424" xr:uid="{00000000-0005-0000-0000-000015160000}"/>
    <cellStyle name="Normal 4 6 2 2 2 5 3 2" xfId="14866" xr:uid="{9D09DD38-DF73-40DE-B6BF-7C7F3B97CDC6}"/>
    <cellStyle name="Normal 4 6 2 2 2 5 4" xfId="10648" xr:uid="{4A7A2820-2B12-43C9-BC6F-EEE5FF6A8B47}"/>
    <cellStyle name="Normal 4 6 2 2 2 6" xfId="2553" xr:uid="{00000000-0005-0000-0000-000016160000}"/>
    <cellStyle name="Normal 4 6 2 2 2 6 2" xfId="6837" xr:uid="{00000000-0005-0000-0000-000017160000}"/>
    <cellStyle name="Normal 4 6 2 2 2 6 2 2" xfId="15279" xr:uid="{70032F56-15BF-4F1A-976F-8D22EE36D2EF}"/>
    <cellStyle name="Normal 4 6 2 2 2 6 3" xfId="11061" xr:uid="{C60012F2-6B18-4051-AAAB-6E29B632FBAE}"/>
    <cellStyle name="Normal 4 6 2 2 2 7" xfId="4772" xr:uid="{00000000-0005-0000-0000-000018160000}"/>
    <cellStyle name="Normal 4 6 2 2 2 7 2" xfId="13214" xr:uid="{1B559300-BFBF-47C5-9D06-6AC65DFA9ECE}"/>
    <cellStyle name="Normal 4 6 2 2 2 8" xfId="8996" xr:uid="{53E60B03-CA84-4026-B31C-7710F47C142E}"/>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DD5A001C-583D-47ED-AF4C-6BADD2A36694}"/>
    <cellStyle name="Normal 4 6 2 2 3 2 3" xfId="11553" xr:uid="{E9C689EA-6A40-43C6-B4F3-1213DF8063C3}"/>
    <cellStyle name="Normal 4 6 2 2 3 3" xfId="5184" xr:uid="{00000000-0005-0000-0000-00001C160000}"/>
    <cellStyle name="Normal 4 6 2 2 3 3 2" xfId="13626" xr:uid="{A0368920-1A55-4422-8BFE-8969D9239672}"/>
    <cellStyle name="Normal 4 6 2 2 3 4" xfId="9408" xr:uid="{69CE289B-C036-4B5F-9F36-23D788716839}"/>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C5199F2B-1BD5-4C02-A61D-93FC89BF5005}"/>
    <cellStyle name="Normal 4 6 2 2 4 2 3" xfId="11966" xr:uid="{568320D0-A6DF-48C5-A59E-647F2D0F34A4}"/>
    <cellStyle name="Normal 4 6 2 2 4 3" xfId="5597" xr:uid="{00000000-0005-0000-0000-000020160000}"/>
    <cellStyle name="Normal 4 6 2 2 4 3 2" xfId="14039" xr:uid="{92B5C847-2805-4909-BD96-15183FEA4BB8}"/>
    <cellStyle name="Normal 4 6 2 2 4 4" xfId="9821" xr:uid="{DE63DED6-C911-4EC1-AD0E-3D2F1AF6513E}"/>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E5525621-B43F-4199-8271-A53A646A8368}"/>
    <cellStyle name="Normal 4 6 2 2 5 2 3" xfId="12379" xr:uid="{57760675-10F0-4420-8949-B0B465F4628E}"/>
    <cellStyle name="Normal 4 6 2 2 5 3" xfId="6010" xr:uid="{00000000-0005-0000-0000-000024160000}"/>
    <cellStyle name="Normal 4 6 2 2 5 3 2" xfId="14452" xr:uid="{4F072009-469C-4EA6-901E-497EA9DAF231}"/>
    <cellStyle name="Normal 4 6 2 2 5 4" xfId="10234" xr:uid="{17F3E3BA-BCD3-400D-9F00-BFD5334A6FA1}"/>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A11D6DA6-DE2D-4F23-A47F-D03F8370C9C4}"/>
    <cellStyle name="Normal 4 6 2 2 6 2 3" xfId="12792" xr:uid="{8EB0E524-BA3E-444A-85BC-933ADE62726C}"/>
    <cellStyle name="Normal 4 6 2 2 6 3" xfId="6423" xr:uid="{00000000-0005-0000-0000-000028160000}"/>
    <cellStyle name="Normal 4 6 2 2 6 3 2" xfId="14865" xr:uid="{7A1CA8FD-49BB-4EF9-B828-9EDFD41AC427}"/>
    <cellStyle name="Normal 4 6 2 2 6 4" xfId="10647" xr:uid="{61A877DC-2887-4DA3-B91C-60B3B49088D9}"/>
    <cellStyle name="Normal 4 6 2 2 7" xfId="2552" xr:uid="{00000000-0005-0000-0000-000029160000}"/>
    <cellStyle name="Normal 4 6 2 2 7 2" xfId="6836" xr:uid="{00000000-0005-0000-0000-00002A160000}"/>
    <cellStyle name="Normal 4 6 2 2 7 2 2" xfId="15278" xr:uid="{4923977E-4C3D-485C-A2B3-198CBCD55559}"/>
    <cellStyle name="Normal 4 6 2 2 7 3" xfId="11060" xr:uid="{676AFCE9-6BF5-4B83-8644-B3EE2617079D}"/>
    <cellStyle name="Normal 4 6 2 2 8" xfId="4771" xr:uid="{00000000-0005-0000-0000-00002B160000}"/>
    <cellStyle name="Normal 4 6 2 2 8 2" xfId="13213" xr:uid="{C21E22EE-EE2D-4290-BFEA-605F098806E2}"/>
    <cellStyle name="Normal 4 6 2 2 9" xfId="8995" xr:uid="{8BE11EB5-62FB-461B-BC3D-CDFD44FF71DF}"/>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7B234150-46E9-4B0D-8C5C-963CD8D0477B}"/>
    <cellStyle name="Normal 4 6 2 3 2 2 3" xfId="11555" xr:uid="{90FF84C9-59D9-4500-8A9C-97E4F6CD7B91}"/>
    <cellStyle name="Normal 4 6 2 3 2 3" xfId="5186" xr:uid="{00000000-0005-0000-0000-000030160000}"/>
    <cellStyle name="Normal 4 6 2 3 2 3 2" xfId="13628" xr:uid="{5EF3741F-A24A-47E7-B7F1-4C28B568BE86}"/>
    <cellStyle name="Normal 4 6 2 3 2 4" xfId="9410" xr:uid="{22F2229A-43F1-4361-9E9D-4A3A8B660D77}"/>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8AABF57B-B7FF-4A71-BB9F-A6D5E289DAA2}"/>
    <cellStyle name="Normal 4 6 2 3 3 2 3" xfId="11968" xr:uid="{9774E294-0F9D-4D72-9C05-0F8F18F0E034}"/>
    <cellStyle name="Normal 4 6 2 3 3 3" xfId="5599" xr:uid="{00000000-0005-0000-0000-000034160000}"/>
    <cellStyle name="Normal 4 6 2 3 3 3 2" xfId="14041" xr:uid="{F1EB5C3D-8AE4-4797-9BF1-CD2F31D9D344}"/>
    <cellStyle name="Normal 4 6 2 3 3 4" xfId="9823" xr:uid="{C51DF0F0-2E47-46FA-9F72-06CC5688929B}"/>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646591B0-AEDC-458C-8446-196BCCBB0261}"/>
    <cellStyle name="Normal 4 6 2 3 4 2 3" xfId="12381" xr:uid="{5323CEF6-73DA-4498-A8C4-4DE7C2E1D324}"/>
    <cellStyle name="Normal 4 6 2 3 4 3" xfId="6012" xr:uid="{00000000-0005-0000-0000-000038160000}"/>
    <cellStyle name="Normal 4 6 2 3 4 3 2" xfId="14454" xr:uid="{F604AE83-F910-4551-90E6-BF513F29E3DD}"/>
    <cellStyle name="Normal 4 6 2 3 4 4" xfId="10236" xr:uid="{6074AFD4-914D-436C-A6E4-789BB975A6AB}"/>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1C985191-9C36-4F2D-97BA-357F2FECFE8A}"/>
    <cellStyle name="Normal 4 6 2 3 5 2 3" xfId="12794" xr:uid="{8EA63972-A82E-4556-BFE6-438FE530C2AE}"/>
    <cellStyle name="Normal 4 6 2 3 5 3" xfId="6425" xr:uid="{00000000-0005-0000-0000-00003C160000}"/>
    <cellStyle name="Normal 4 6 2 3 5 3 2" xfId="14867" xr:uid="{131EBD3E-910B-4B2B-814E-BB117709EF28}"/>
    <cellStyle name="Normal 4 6 2 3 5 4" xfId="10649" xr:uid="{28110C2F-C200-41B9-8CF8-405C04FC5A9C}"/>
    <cellStyle name="Normal 4 6 2 3 6" xfId="2554" xr:uid="{00000000-0005-0000-0000-00003D160000}"/>
    <cellStyle name="Normal 4 6 2 3 6 2" xfId="6838" xr:uid="{00000000-0005-0000-0000-00003E160000}"/>
    <cellStyle name="Normal 4 6 2 3 6 2 2" xfId="15280" xr:uid="{79D042AB-7599-4DEB-B096-C2B1A5498D43}"/>
    <cellStyle name="Normal 4 6 2 3 6 3" xfId="11062" xr:uid="{B5E6ECA6-13E0-416D-B0FD-490B0B48AB0A}"/>
    <cellStyle name="Normal 4 6 2 3 7" xfId="4773" xr:uid="{00000000-0005-0000-0000-00003F160000}"/>
    <cellStyle name="Normal 4 6 2 3 7 2" xfId="13215" xr:uid="{9FBEBF52-1A91-4392-B16B-D528E1E23FD4}"/>
    <cellStyle name="Normal 4 6 2 3 8" xfId="8997" xr:uid="{DFEEF6E8-00DF-4D4E-A152-96D6022DB477}"/>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8CB9C270-76AD-4280-86D9-409AE5862314}"/>
    <cellStyle name="Normal 4 6 2 4 2 3" xfId="11552" xr:uid="{FC66CB36-8559-418D-B357-A3CACB4D8308}"/>
    <cellStyle name="Normal 4 6 2 4 3" xfId="5183" xr:uid="{00000000-0005-0000-0000-000043160000}"/>
    <cellStyle name="Normal 4 6 2 4 3 2" xfId="13625" xr:uid="{A35ADDBA-4B3B-4684-BFD9-C79A244846F9}"/>
    <cellStyle name="Normal 4 6 2 4 4" xfId="9407" xr:uid="{89211659-E18D-42E6-B6AE-BAEDF8DBE3C3}"/>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28048095-C50E-40C7-9A88-3A877C6D5596}"/>
    <cellStyle name="Normal 4 6 2 5 2 3" xfId="11965" xr:uid="{5C1D3D1E-BD71-4675-9159-BFA77C78639A}"/>
    <cellStyle name="Normal 4 6 2 5 3" xfId="5596" xr:uid="{00000000-0005-0000-0000-000047160000}"/>
    <cellStyle name="Normal 4 6 2 5 3 2" xfId="14038" xr:uid="{E9EAAB55-20EB-440E-AB19-36F845F29738}"/>
    <cellStyle name="Normal 4 6 2 5 4" xfId="9820" xr:uid="{6420953B-BFC8-4078-8E88-3C999851DA1C}"/>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2BDC9042-2CC5-4E87-A3DD-2A55B41CF97B}"/>
    <cellStyle name="Normal 4 6 2 6 2 3" xfId="12378" xr:uid="{988EF4C0-03FF-4549-817D-48538882A6F5}"/>
    <cellStyle name="Normal 4 6 2 6 3" xfId="6009" xr:uid="{00000000-0005-0000-0000-00004B160000}"/>
    <cellStyle name="Normal 4 6 2 6 3 2" xfId="14451" xr:uid="{0B015287-CF16-4E17-B930-A8380F87F329}"/>
    <cellStyle name="Normal 4 6 2 6 4" xfId="10233" xr:uid="{629085BA-DF62-431F-AACD-F1729B2F9871}"/>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85D7A9E9-F2FF-4204-8BF8-4DB546F39D35}"/>
    <cellStyle name="Normal 4 6 2 7 2 3" xfId="12791" xr:uid="{DCEC28EB-B6EB-444F-80F4-E95F2F0B77F2}"/>
    <cellStyle name="Normal 4 6 2 7 3" xfId="6422" xr:uid="{00000000-0005-0000-0000-00004F160000}"/>
    <cellStyle name="Normal 4 6 2 7 3 2" xfId="14864" xr:uid="{D3BC91E9-D5DA-44FC-9A00-A93D5187C011}"/>
    <cellStyle name="Normal 4 6 2 7 4" xfId="10646" xr:uid="{6E3E0693-0EEF-4507-87A2-133B0B85E5D3}"/>
    <cellStyle name="Normal 4 6 2 8" xfId="2551" xr:uid="{00000000-0005-0000-0000-000050160000}"/>
    <cellStyle name="Normal 4 6 2 8 2" xfId="6835" xr:uid="{00000000-0005-0000-0000-000051160000}"/>
    <cellStyle name="Normal 4 6 2 8 2 2" xfId="15277" xr:uid="{75772135-44E0-4DD0-A0B4-D8A39455AAC8}"/>
    <cellStyle name="Normal 4 6 2 8 3" xfId="11059" xr:uid="{4367738D-B6A2-449D-804F-26E6B91C374F}"/>
    <cellStyle name="Normal 4 6 2 9" xfId="4770" xr:uid="{00000000-0005-0000-0000-000052160000}"/>
    <cellStyle name="Normal 4 6 2 9 2" xfId="13212" xr:uid="{D00E2FF5-B030-4B75-8241-83698DCB383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C7BEE697-F4A6-4B6C-AF41-8476A00ED523}"/>
    <cellStyle name="Normal 4 6 3 2 2 2 3" xfId="11557" xr:uid="{979B7127-2B8F-43BA-AD21-4F39287AFB3B}"/>
    <cellStyle name="Normal 4 6 3 2 2 3" xfId="5188" xr:uid="{00000000-0005-0000-0000-000058160000}"/>
    <cellStyle name="Normal 4 6 3 2 2 3 2" xfId="13630" xr:uid="{3AF672DE-8C62-4884-8C64-E7D1A056E7B5}"/>
    <cellStyle name="Normal 4 6 3 2 2 4" xfId="9412" xr:uid="{33958B2E-71B2-4A0F-967B-35E2F929AF1F}"/>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C15DA022-74E9-423C-AC96-BFF92EF680CE}"/>
    <cellStyle name="Normal 4 6 3 2 3 2 3" xfId="11970" xr:uid="{71607782-9B8F-43DF-8651-5C01D867C99A}"/>
    <cellStyle name="Normal 4 6 3 2 3 3" xfId="5601" xr:uid="{00000000-0005-0000-0000-00005C160000}"/>
    <cellStyle name="Normal 4 6 3 2 3 3 2" xfId="14043" xr:uid="{3E04D69B-4866-4D76-88E8-90E17482CC29}"/>
    <cellStyle name="Normal 4 6 3 2 3 4" xfId="9825" xr:uid="{332C967D-6D42-4845-87CB-76924C0630D6}"/>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D3678629-940D-404A-B43D-0314C50D4B31}"/>
    <cellStyle name="Normal 4 6 3 2 4 2 3" xfId="12383" xr:uid="{F661CF34-631E-4C35-83FE-C9B208ED347C}"/>
    <cellStyle name="Normal 4 6 3 2 4 3" xfId="6014" xr:uid="{00000000-0005-0000-0000-000060160000}"/>
    <cellStyle name="Normal 4 6 3 2 4 3 2" xfId="14456" xr:uid="{C47984DF-4D48-44BC-BF6E-E8106F4A00D1}"/>
    <cellStyle name="Normal 4 6 3 2 4 4" xfId="10238" xr:uid="{B258E8AE-8AB5-4372-95C0-5B3A11CAE39C}"/>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D172DA44-DAF4-431A-8432-71B40788785E}"/>
    <cellStyle name="Normal 4 6 3 2 5 2 3" xfId="12796" xr:uid="{F5AE7FB2-1A4E-4938-95B6-A6854A658733}"/>
    <cellStyle name="Normal 4 6 3 2 5 3" xfId="6427" xr:uid="{00000000-0005-0000-0000-000064160000}"/>
    <cellStyle name="Normal 4 6 3 2 5 3 2" xfId="14869" xr:uid="{09D61740-9DC7-4F6B-A551-DE101706A226}"/>
    <cellStyle name="Normal 4 6 3 2 5 4" xfId="10651" xr:uid="{96A5A06D-0106-4F0C-8F7F-8FFFF19C8DB0}"/>
    <cellStyle name="Normal 4 6 3 2 6" xfId="2556" xr:uid="{00000000-0005-0000-0000-000065160000}"/>
    <cellStyle name="Normal 4 6 3 2 6 2" xfId="6840" xr:uid="{00000000-0005-0000-0000-000066160000}"/>
    <cellStyle name="Normal 4 6 3 2 6 2 2" xfId="15282" xr:uid="{FA96E040-A548-49EB-AEBF-12FBD16E3554}"/>
    <cellStyle name="Normal 4 6 3 2 6 3" xfId="11064" xr:uid="{276A1275-1F6B-43DE-B4A2-9A963878B6D4}"/>
    <cellStyle name="Normal 4 6 3 2 7" xfId="4775" xr:uid="{00000000-0005-0000-0000-000067160000}"/>
    <cellStyle name="Normal 4 6 3 2 7 2" xfId="13217" xr:uid="{EA2A4DFF-ED33-453E-A3C7-832B2EC88C0F}"/>
    <cellStyle name="Normal 4 6 3 2 8" xfId="8999" xr:uid="{1FB69B23-5207-459D-8526-DF3AC4003CA4}"/>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BFD0A65F-0F57-472D-ADC3-834A1648962D}"/>
    <cellStyle name="Normal 4 6 3 3 2 3" xfId="11556" xr:uid="{6DF52476-9D67-45B0-9D18-55E545015722}"/>
    <cellStyle name="Normal 4 6 3 3 3" xfId="5187" xr:uid="{00000000-0005-0000-0000-00006B160000}"/>
    <cellStyle name="Normal 4 6 3 3 3 2" xfId="13629" xr:uid="{4B649ABB-6B94-45F2-894D-BED19AAC69E7}"/>
    <cellStyle name="Normal 4 6 3 3 4" xfId="9411" xr:uid="{335DA725-6316-46BA-BB39-830B981868FD}"/>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F74D7F4D-7883-46A4-9FC6-6103D7FC194A}"/>
    <cellStyle name="Normal 4 6 3 4 2 3" xfId="11969" xr:uid="{326AB0FC-9604-4AC6-A9B6-0F6A1E01FF55}"/>
    <cellStyle name="Normal 4 6 3 4 3" xfId="5600" xr:uid="{00000000-0005-0000-0000-00006F160000}"/>
    <cellStyle name="Normal 4 6 3 4 3 2" xfId="14042" xr:uid="{DF18C305-CD71-4472-9347-F7568EF184E8}"/>
    <cellStyle name="Normal 4 6 3 4 4" xfId="9824" xr:uid="{6C4571D5-E8C8-4944-A5A4-8FDFC03EC783}"/>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58F2884B-4AB2-4E29-929A-F0EBF86071CC}"/>
    <cellStyle name="Normal 4 6 3 5 2 3" xfId="12382" xr:uid="{86A4CB31-C998-49C1-8E6B-CD28B52001EB}"/>
    <cellStyle name="Normal 4 6 3 5 3" xfId="6013" xr:uid="{00000000-0005-0000-0000-000073160000}"/>
    <cellStyle name="Normal 4 6 3 5 3 2" xfId="14455" xr:uid="{326FA83B-C67F-4E95-99DB-1E2E74EBBF7E}"/>
    <cellStyle name="Normal 4 6 3 5 4" xfId="10237" xr:uid="{7DD103EA-3BAB-4C59-BCF1-A7263255E0E1}"/>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9663A1C3-6E1E-4FA2-82F7-FE06C3FB11B7}"/>
    <cellStyle name="Normal 4 6 3 6 2 3" xfId="12795" xr:uid="{058A6A57-FE3E-40A7-859B-737F937E97AF}"/>
    <cellStyle name="Normal 4 6 3 6 3" xfId="6426" xr:uid="{00000000-0005-0000-0000-000077160000}"/>
    <cellStyle name="Normal 4 6 3 6 3 2" xfId="14868" xr:uid="{15D0B182-76CB-439C-8A44-990A13E9C6D1}"/>
    <cellStyle name="Normal 4 6 3 6 4" xfId="10650" xr:uid="{E534B190-32B2-4D8D-8730-2D3C1D66A5E6}"/>
    <cellStyle name="Normal 4 6 3 7" xfId="2555" xr:uid="{00000000-0005-0000-0000-000078160000}"/>
    <cellStyle name="Normal 4 6 3 7 2" xfId="6839" xr:uid="{00000000-0005-0000-0000-000079160000}"/>
    <cellStyle name="Normal 4 6 3 7 2 2" xfId="15281" xr:uid="{51FB5A44-F7B2-40CB-B203-F83C8F83F641}"/>
    <cellStyle name="Normal 4 6 3 7 3" xfId="11063" xr:uid="{863AABBB-7DC5-46B2-AE6B-A2C19034BAE5}"/>
    <cellStyle name="Normal 4 6 3 8" xfId="4774" xr:uid="{00000000-0005-0000-0000-00007A160000}"/>
    <cellStyle name="Normal 4 6 3 8 2" xfId="13216" xr:uid="{B1428DC5-5C79-4D46-8220-32A91B34D812}"/>
    <cellStyle name="Normal 4 6 3 9" xfId="8998" xr:uid="{DC6194A5-D192-48D0-83A3-3D9CF2A3DE1F}"/>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C901519E-171B-4470-863E-641EAB1AEDB0}"/>
    <cellStyle name="Normal 4 6 4 2 2 3" xfId="11558" xr:uid="{10E7D7CD-0F82-497D-B6A3-73F60ADFF1EB}"/>
    <cellStyle name="Normal 4 6 4 2 3" xfId="5189" xr:uid="{00000000-0005-0000-0000-00007F160000}"/>
    <cellStyle name="Normal 4 6 4 2 3 2" xfId="13631" xr:uid="{1817B794-D31F-4778-B3B5-189EC61FA71E}"/>
    <cellStyle name="Normal 4 6 4 2 4" xfId="9413" xr:uid="{5AFC6C85-86C2-4B57-9C46-2CE9063C2DCB}"/>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C77AD8AB-F10B-4EE7-A942-159447B9264B}"/>
    <cellStyle name="Normal 4 6 4 3 2 3" xfId="11971" xr:uid="{B6CBC683-8CF2-4B06-8CF0-0EAC4B983B17}"/>
    <cellStyle name="Normal 4 6 4 3 3" xfId="5602" xr:uid="{00000000-0005-0000-0000-000083160000}"/>
    <cellStyle name="Normal 4 6 4 3 3 2" xfId="14044" xr:uid="{D11E7D7A-DAAD-4428-90B1-83464D794DBE}"/>
    <cellStyle name="Normal 4 6 4 3 4" xfId="9826" xr:uid="{45A1B0D9-F4CB-4217-B5F8-8D6C4748EF83}"/>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63A39180-8901-442B-8432-23E5B309C86F}"/>
    <cellStyle name="Normal 4 6 4 4 2 3" xfId="12384" xr:uid="{73E20143-2578-4F25-B03B-DE86A2B3D1DD}"/>
    <cellStyle name="Normal 4 6 4 4 3" xfId="6015" xr:uid="{00000000-0005-0000-0000-000087160000}"/>
    <cellStyle name="Normal 4 6 4 4 3 2" xfId="14457" xr:uid="{4288C19A-CAA6-4238-B312-7B1006DD51ED}"/>
    <cellStyle name="Normal 4 6 4 4 4" xfId="10239" xr:uid="{803FCFD9-9B26-4FF6-9113-CEC0EFC305FE}"/>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C2C610A6-91A4-40E8-A574-20C4ECBC9065}"/>
    <cellStyle name="Normal 4 6 4 5 2 3" xfId="12797" xr:uid="{4AFB7831-41BF-4773-9397-BE5E1E92A2A1}"/>
    <cellStyle name="Normal 4 6 4 5 3" xfId="6428" xr:uid="{00000000-0005-0000-0000-00008B160000}"/>
    <cellStyle name="Normal 4 6 4 5 3 2" xfId="14870" xr:uid="{3CEC5DCE-DE87-4378-AFEF-6A405B9E92A9}"/>
    <cellStyle name="Normal 4 6 4 5 4" xfId="10652" xr:uid="{A78E77E1-0113-4D9D-8F48-1B4BD5453F51}"/>
    <cellStyle name="Normal 4 6 4 6" xfId="2557" xr:uid="{00000000-0005-0000-0000-00008C160000}"/>
    <cellStyle name="Normal 4 6 4 6 2" xfId="6841" xr:uid="{00000000-0005-0000-0000-00008D160000}"/>
    <cellStyle name="Normal 4 6 4 6 2 2" xfId="15283" xr:uid="{E23C707D-895B-4E08-956D-64552CB988A0}"/>
    <cellStyle name="Normal 4 6 4 6 3" xfId="11065" xr:uid="{9F9A488F-992D-4288-8263-5449EC0D1BE0}"/>
    <cellStyle name="Normal 4 6 4 7" xfId="4776" xr:uid="{00000000-0005-0000-0000-00008E160000}"/>
    <cellStyle name="Normal 4 6 4 7 2" xfId="13218" xr:uid="{ED9B4763-8482-4CDB-9B34-A7402F951EF1}"/>
    <cellStyle name="Normal 4 6 4 8" xfId="9000" xr:uid="{02AABB7D-ACBE-4767-ADE0-062A0A0D1EA2}"/>
    <cellStyle name="Normal 4 6 5" xfId="869" xr:uid="{00000000-0005-0000-0000-00008F160000}"/>
    <cellStyle name="Normal 4 6 5 2" xfId="3104" xr:uid="{00000000-0005-0000-0000-000090160000}"/>
    <cellStyle name="Normal 4 6 5 2 2" xfId="7327" xr:uid="{00000000-0005-0000-0000-000091160000}"/>
    <cellStyle name="Normal 4 6 5 2 2 2" xfId="15769" xr:uid="{5B56DCB4-4092-4C13-B4F8-4A28CE409122}"/>
    <cellStyle name="Normal 4 6 5 2 3" xfId="11551" xr:uid="{42F869F2-3A30-483E-943F-848B55EAB875}"/>
    <cellStyle name="Normal 4 6 5 3" xfId="5182" xr:uid="{00000000-0005-0000-0000-000092160000}"/>
    <cellStyle name="Normal 4 6 5 3 2" xfId="13624" xr:uid="{9E578699-3B95-43D8-8FBA-CBFD23E18D51}"/>
    <cellStyle name="Normal 4 6 5 4" xfId="9406" xr:uid="{63B58AD7-F3F7-4D04-B71C-4591931FC939}"/>
    <cellStyle name="Normal 4 6 6" xfId="1287" xr:uid="{00000000-0005-0000-0000-000093160000}"/>
    <cellStyle name="Normal 4 6 6 2" xfId="3517" xr:uid="{00000000-0005-0000-0000-000094160000}"/>
    <cellStyle name="Normal 4 6 6 2 2" xfId="7740" xr:uid="{00000000-0005-0000-0000-000095160000}"/>
    <cellStyle name="Normal 4 6 6 2 2 2" xfId="16182" xr:uid="{2254DDD2-44E8-4E35-88F5-97628CBB97E7}"/>
    <cellStyle name="Normal 4 6 6 2 3" xfId="11964" xr:uid="{E395A9A3-51E6-4A7D-BC86-6E2BA1E33771}"/>
    <cellStyle name="Normal 4 6 6 3" xfId="5595" xr:uid="{00000000-0005-0000-0000-000096160000}"/>
    <cellStyle name="Normal 4 6 6 3 2" xfId="14037" xr:uid="{AB2D7524-F3A5-4FB0-B927-A3AE9716E101}"/>
    <cellStyle name="Normal 4 6 6 4" xfId="9819" xr:uid="{71262FD6-E4B1-4024-8444-EA375ED3D558}"/>
    <cellStyle name="Normal 4 6 7" xfId="1700" xr:uid="{00000000-0005-0000-0000-000097160000}"/>
    <cellStyle name="Normal 4 6 7 2" xfId="3930" xr:uid="{00000000-0005-0000-0000-000098160000}"/>
    <cellStyle name="Normal 4 6 7 2 2" xfId="8153" xr:uid="{00000000-0005-0000-0000-000099160000}"/>
    <cellStyle name="Normal 4 6 7 2 2 2" xfId="16595" xr:uid="{A1B851F6-4AAE-44E2-B812-48048ED2379B}"/>
    <cellStyle name="Normal 4 6 7 2 3" xfId="12377" xr:uid="{D03EB4DB-C080-4456-95CF-585F00E70C24}"/>
    <cellStyle name="Normal 4 6 7 3" xfId="6008" xr:uid="{00000000-0005-0000-0000-00009A160000}"/>
    <cellStyle name="Normal 4 6 7 3 2" xfId="14450" xr:uid="{33C55E92-45FD-41BD-807A-96EC2BBEB4E5}"/>
    <cellStyle name="Normal 4 6 7 4" xfId="10232" xr:uid="{618003A0-E73B-4C72-BAFE-F55A2A674880}"/>
    <cellStyle name="Normal 4 6 8" xfId="2114" xr:uid="{00000000-0005-0000-0000-00009B160000}"/>
    <cellStyle name="Normal 4 6 8 2" xfId="4343" xr:uid="{00000000-0005-0000-0000-00009C160000}"/>
    <cellStyle name="Normal 4 6 8 2 2" xfId="8566" xr:uid="{00000000-0005-0000-0000-00009D160000}"/>
    <cellStyle name="Normal 4 6 8 2 2 2" xfId="17008" xr:uid="{19B8BF99-7139-4DF7-8345-241D190DBE1D}"/>
    <cellStyle name="Normal 4 6 8 2 3" xfId="12790" xr:uid="{039A7C03-9D23-4A3B-85E0-93AA7B189575}"/>
    <cellStyle name="Normal 4 6 8 3" xfId="6421" xr:uid="{00000000-0005-0000-0000-00009E160000}"/>
    <cellStyle name="Normal 4 6 8 3 2" xfId="14863" xr:uid="{2F547CF1-3AE0-4E2E-BBD7-66DACA2F9598}"/>
    <cellStyle name="Normal 4 6 8 4" xfId="10645" xr:uid="{D3A94E22-0FE0-483F-940F-EA383C0BBE10}"/>
    <cellStyle name="Normal 4 6 9" xfId="2550" xr:uid="{00000000-0005-0000-0000-00009F160000}"/>
    <cellStyle name="Normal 4 6 9 2" xfId="6834" xr:uid="{00000000-0005-0000-0000-0000A0160000}"/>
    <cellStyle name="Normal 4 6 9 2 2" xfId="15276" xr:uid="{6BBC6C26-76D5-4B45-8C45-85F80C3C7FF5}"/>
    <cellStyle name="Normal 4 6 9 3" xfId="11058" xr:uid="{1E530BCD-BE90-4EDE-A394-E9B2440371DB}"/>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386A63DE-7797-4721-8431-59C46DD400C4}"/>
    <cellStyle name="Normal 4 7 2 2 2 3" xfId="11560" xr:uid="{69D5FB16-23BC-45A9-B280-BF0D0F2A71E6}"/>
    <cellStyle name="Normal 4 7 2 2 3" xfId="5191" xr:uid="{00000000-0005-0000-0000-0000A6160000}"/>
    <cellStyle name="Normal 4 7 2 2 3 2" xfId="13633" xr:uid="{EA392AD2-F935-4E09-B9E7-9EF65033BDD1}"/>
    <cellStyle name="Normal 4 7 2 2 4" xfId="9415" xr:uid="{93912006-FB51-4C08-89AE-23628CA709F7}"/>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3634C46E-407F-451A-B97E-A89DCEECC1F2}"/>
    <cellStyle name="Normal 4 7 2 3 2 3" xfId="11973" xr:uid="{0AEB94DF-850D-4C97-B5A5-0042424FF9DB}"/>
    <cellStyle name="Normal 4 7 2 3 3" xfId="5604" xr:uid="{00000000-0005-0000-0000-0000AA160000}"/>
    <cellStyle name="Normal 4 7 2 3 3 2" xfId="14046" xr:uid="{9DD49653-703F-4B7A-BA74-FFC85F05617B}"/>
    <cellStyle name="Normal 4 7 2 3 4" xfId="9828" xr:uid="{6B945065-CF46-4B87-8DDF-880F7543FAB2}"/>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DA2A273C-0E94-4D74-A7CA-200AF8F14D27}"/>
    <cellStyle name="Normal 4 7 2 4 2 3" xfId="12386" xr:uid="{61F2C4A8-22FB-466D-BE3B-3319E4E28F54}"/>
    <cellStyle name="Normal 4 7 2 4 3" xfId="6017" xr:uid="{00000000-0005-0000-0000-0000AE160000}"/>
    <cellStyle name="Normal 4 7 2 4 3 2" xfId="14459" xr:uid="{1E63D825-602F-454F-932C-9347D9215EDF}"/>
    <cellStyle name="Normal 4 7 2 4 4" xfId="10241" xr:uid="{F8561F22-6D5B-42CD-898A-0510DC8D8AE7}"/>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BDD77E32-6207-4753-8743-7975011DBF3C}"/>
    <cellStyle name="Normal 4 7 2 5 2 3" xfId="12799" xr:uid="{A824963C-5637-42EB-A01B-90292B06419A}"/>
    <cellStyle name="Normal 4 7 2 5 3" xfId="6430" xr:uid="{00000000-0005-0000-0000-0000B2160000}"/>
    <cellStyle name="Normal 4 7 2 5 3 2" xfId="14872" xr:uid="{D43204F5-F980-4C04-B13F-3B61160C83EC}"/>
    <cellStyle name="Normal 4 7 2 5 4" xfId="10654" xr:uid="{CFE52914-A823-4442-99F7-F7CE0F78C43E}"/>
    <cellStyle name="Normal 4 7 2 6" xfId="2559" xr:uid="{00000000-0005-0000-0000-0000B3160000}"/>
    <cellStyle name="Normal 4 7 2 6 2" xfId="6843" xr:uid="{00000000-0005-0000-0000-0000B4160000}"/>
    <cellStyle name="Normal 4 7 2 6 2 2" xfId="15285" xr:uid="{D82A18E7-6523-46A3-8EC0-C068DB29FFE7}"/>
    <cellStyle name="Normal 4 7 2 6 3" xfId="11067" xr:uid="{A3C960CE-22D6-4E6E-BFC5-AA6D9971BA1E}"/>
    <cellStyle name="Normal 4 7 2 7" xfId="4778" xr:uid="{00000000-0005-0000-0000-0000B5160000}"/>
    <cellStyle name="Normal 4 7 2 7 2" xfId="13220" xr:uid="{969F62E0-BD81-466C-9765-B0020645FF4C}"/>
    <cellStyle name="Normal 4 7 2 8" xfId="9002" xr:uid="{75D03E32-AB36-4898-A46C-6B53CC5DBCBD}"/>
    <cellStyle name="Normal 4 7 3" xfId="877" xr:uid="{00000000-0005-0000-0000-0000B6160000}"/>
    <cellStyle name="Normal 4 7 3 2" xfId="3112" xr:uid="{00000000-0005-0000-0000-0000B7160000}"/>
    <cellStyle name="Normal 4 7 3 2 2" xfId="7335" xr:uid="{00000000-0005-0000-0000-0000B8160000}"/>
    <cellStyle name="Normal 4 7 3 2 2 2" xfId="15777" xr:uid="{107D2016-5846-46B7-A43D-425278E03BBB}"/>
    <cellStyle name="Normal 4 7 3 2 3" xfId="11559" xr:uid="{46FF01A1-23C1-4A63-8154-AC12B8F57871}"/>
    <cellStyle name="Normal 4 7 3 3" xfId="5190" xr:uid="{00000000-0005-0000-0000-0000B9160000}"/>
    <cellStyle name="Normal 4 7 3 3 2" xfId="13632" xr:uid="{A872F3AF-55BC-4054-A599-F7ACD07C8491}"/>
    <cellStyle name="Normal 4 7 3 4" xfId="9414" xr:uid="{D26D207C-6665-487B-9E99-AB540A78C756}"/>
    <cellStyle name="Normal 4 7 4" xfId="1295" xr:uid="{00000000-0005-0000-0000-0000BA160000}"/>
    <cellStyle name="Normal 4 7 4 2" xfId="3525" xr:uid="{00000000-0005-0000-0000-0000BB160000}"/>
    <cellStyle name="Normal 4 7 4 2 2" xfId="7748" xr:uid="{00000000-0005-0000-0000-0000BC160000}"/>
    <cellStyle name="Normal 4 7 4 2 2 2" xfId="16190" xr:uid="{0424AA71-C166-42BB-A612-A128DF15EC63}"/>
    <cellStyle name="Normal 4 7 4 2 3" xfId="11972" xr:uid="{0E527BA9-F1F1-4A82-B1C5-2C324EE09E97}"/>
    <cellStyle name="Normal 4 7 4 3" xfId="5603" xr:uid="{00000000-0005-0000-0000-0000BD160000}"/>
    <cellStyle name="Normal 4 7 4 3 2" xfId="14045" xr:uid="{61B28AA8-6361-4EC4-B388-B2F675125C5C}"/>
    <cellStyle name="Normal 4 7 4 4" xfId="9827" xr:uid="{5094B95C-9F2B-40CA-8CC0-77354A7D3B5E}"/>
    <cellStyle name="Normal 4 7 5" xfId="1708" xr:uid="{00000000-0005-0000-0000-0000BE160000}"/>
    <cellStyle name="Normal 4 7 5 2" xfId="3938" xr:uid="{00000000-0005-0000-0000-0000BF160000}"/>
    <cellStyle name="Normal 4 7 5 2 2" xfId="8161" xr:uid="{00000000-0005-0000-0000-0000C0160000}"/>
    <cellStyle name="Normal 4 7 5 2 2 2" xfId="16603" xr:uid="{896CE857-D954-42D4-AB6D-430FB364A608}"/>
    <cellStyle name="Normal 4 7 5 2 3" xfId="12385" xr:uid="{00633C49-9F04-46E6-ABEE-4883E886DFD2}"/>
    <cellStyle name="Normal 4 7 5 3" xfId="6016" xr:uid="{00000000-0005-0000-0000-0000C1160000}"/>
    <cellStyle name="Normal 4 7 5 3 2" xfId="14458" xr:uid="{68FF6D93-9409-4415-8BB0-DCBFF743F877}"/>
    <cellStyle name="Normal 4 7 5 4" xfId="10240" xr:uid="{B22E41CB-298B-423A-9DB1-1BEB57D4DED9}"/>
    <cellStyle name="Normal 4 7 6" xfId="2122" xr:uid="{00000000-0005-0000-0000-0000C2160000}"/>
    <cellStyle name="Normal 4 7 6 2" xfId="4351" xr:uid="{00000000-0005-0000-0000-0000C3160000}"/>
    <cellStyle name="Normal 4 7 6 2 2" xfId="8574" xr:uid="{00000000-0005-0000-0000-0000C4160000}"/>
    <cellStyle name="Normal 4 7 6 2 2 2" xfId="17016" xr:uid="{54948D72-53E0-4D43-ACC5-2B477FE9DDFD}"/>
    <cellStyle name="Normal 4 7 6 2 3" xfId="12798" xr:uid="{EB17C1AF-38F9-46EF-B6A1-C1D721048D2B}"/>
    <cellStyle name="Normal 4 7 6 3" xfId="6429" xr:uid="{00000000-0005-0000-0000-0000C5160000}"/>
    <cellStyle name="Normal 4 7 6 3 2" xfId="14871" xr:uid="{30F5F998-9E82-42FC-BAD0-C851ED2304C4}"/>
    <cellStyle name="Normal 4 7 6 4" xfId="10653" xr:uid="{92B67A43-582D-4CEA-8EB8-32F0D5705B21}"/>
    <cellStyle name="Normal 4 7 7" xfId="2558" xr:uid="{00000000-0005-0000-0000-0000C6160000}"/>
    <cellStyle name="Normal 4 7 7 2" xfId="6842" xr:uid="{00000000-0005-0000-0000-0000C7160000}"/>
    <cellStyle name="Normal 4 7 7 2 2" xfId="15284" xr:uid="{AB00F63C-F98F-471F-AE34-E844F49ED77C}"/>
    <cellStyle name="Normal 4 7 7 3" xfId="11066" xr:uid="{B7C32849-02C3-407E-8C9A-DCAC75EDF2E6}"/>
    <cellStyle name="Normal 4 7 8" xfId="4777" xr:uid="{00000000-0005-0000-0000-0000C8160000}"/>
    <cellStyle name="Normal 4 7 8 2" xfId="13219" xr:uid="{A7803F3B-913C-4FE2-BC84-12162B336B65}"/>
    <cellStyle name="Normal 4 7 9" xfId="9001" xr:uid="{BE92D803-946F-486F-9641-A30158A0B9AF}"/>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0F90A406-407B-43EF-8164-688B3DA88511}"/>
    <cellStyle name="Normal 4 8 2 2 3" xfId="11561" xr:uid="{478F8CE7-4BDE-4553-88BB-BD4A7644B97A}"/>
    <cellStyle name="Normal 4 8 2 3" xfId="5192" xr:uid="{00000000-0005-0000-0000-0000CD160000}"/>
    <cellStyle name="Normal 4 8 2 3 2" xfId="13634" xr:uid="{E1C9D662-5546-4CCB-88D5-28231B8CD531}"/>
    <cellStyle name="Normal 4 8 2 4" xfId="9416" xr:uid="{A3C8FB17-306B-4C55-BA10-3120781D80DF}"/>
    <cellStyle name="Normal 4 8 3" xfId="1297" xr:uid="{00000000-0005-0000-0000-0000CE160000}"/>
    <cellStyle name="Normal 4 8 3 2" xfId="3527" xr:uid="{00000000-0005-0000-0000-0000CF160000}"/>
    <cellStyle name="Normal 4 8 3 2 2" xfId="7750" xr:uid="{00000000-0005-0000-0000-0000D0160000}"/>
    <cellStyle name="Normal 4 8 3 2 2 2" xfId="16192" xr:uid="{A60612AF-FA17-4955-AF64-295A9F3C58EF}"/>
    <cellStyle name="Normal 4 8 3 2 3" xfId="11974" xr:uid="{688E2C82-1BAE-4C38-B012-17D142A8D9B0}"/>
    <cellStyle name="Normal 4 8 3 3" xfId="5605" xr:uid="{00000000-0005-0000-0000-0000D1160000}"/>
    <cellStyle name="Normal 4 8 3 3 2" xfId="14047" xr:uid="{FE62DC13-7FF2-495D-B1A8-2AECAC67AC39}"/>
    <cellStyle name="Normal 4 8 3 4" xfId="9829" xr:uid="{42A36A17-5621-4DE6-8E2A-A5A2DF7596B4}"/>
    <cellStyle name="Normal 4 8 4" xfId="1710" xr:uid="{00000000-0005-0000-0000-0000D2160000}"/>
    <cellStyle name="Normal 4 8 4 2" xfId="3940" xr:uid="{00000000-0005-0000-0000-0000D3160000}"/>
    <cellStyle name="Normal 4 8 4 2 2" xfId="8163" xr:uid="{00000000-0005-0000-0000-0000D4160000}"/>
    <cellStyle name="Normal 4 8 4 2 2 2" xfId="16605" xr:uid="{0CE9EA8A-AB48-4D14-B284-B8DD098CC402}"/>
    <cellStyle name="Normal 4 8 4 2 3" xfId="12387" xr:uid="{94F3F88B-845A-4DDE-A5DD-9B497478E5BA}"/>
    <cellStyle name="Normal 4 8 4 3" xfId="6018" xr:uid="{00000000-0005-0000-0000-0000D5160000}"/>
    <cellStyle name="Normal 4 8 4 3 2" xfId="14460" xr:uid="{15CAF9F3-85FB-4068-9248-73B7827E26E3}"/>
    <cellStyle name="Normal 4 8 4 4" xfId="10242" xr:uid="{D2429C44-4449-4889-9C63-3187C1E5B14A}"/>
    <cellStyle name="Normal 4 8 5" xfId="2124" xr:uid="{00000000-0005-0000-0000-0000D6160000}"/>
    <cellStyle name="Normal 4 8 5 2" xfId="4353" xr:uid="{00000000-0005-0000-0000-0000D7160000}"/>
    <cellStyle name="Normal 4 8 5 2 2" xfId="8576" xr:uid="{00000000-0005-0000-0000-0000D8160000}"/>
    <cellStyle name="Normal 4 8 5 2 2 2" xfId="17018" xr:uid="{DCBDA846-7449-4EE9-ABF6-4D05523A8A64}"/>
    <cellStyle name="Normal 4 8 5 2 3" xfId="12800" xr:uid="{D8D251BD-4342-497E-B7A7-F32A86AF0BFD}"/>
    <cellStyle name="Normal 4 8 5 3" xfId="6431" xr:uid="{00000000-0005-0000-0000-0000D9160000}"/>
    <cellStyle name="Normal 4 8 5 3 2" xfId="14873" xr:uid="{BAFEF6EB-934B-48E5-8FF5-3A2828E6E94F}"/>
    <cellStyle name="Normal 4 8 5 4" xfId="10655" xr:uid="{1F931987-5013-4AB7-B949-59377F780E93}"/>
    <cellStyle name="Normal 4 8 6" xfId="2560" xr:uid="{00000000-0005-0000-0000-0000DA160000}"/>
    <cellStyle name="Normal 4 8 6 2" xfId="6844" xr:uid="{00000000-0005-0000-0000-0000DB160000}"/>
    <cellStyle name="Normal 4 8 6 2 2" xfId="15286" xr:uid="{4EA7666B-CB3D-4A2D-A08B-7CBC5DD8C92A}"/>
    <cellStyle name="Normal 4 8 6 3" xfId="11068" xr:uid="{C552746F-0919-452C-A1DC-EBCA29452616}"/>
    <cellStyle name="Normal 4 8 7" xfId="4779" xr:uid="{00000000-0005-0000-0000-0000DC160000}"/>
    <cellStyle name="Normal 4 8 7 2" xfId="13221" xr:uid="{4743181C-0FF6-4A3D-97A7-5162C4222663}"/>
    <cellStyle name="Normal 4 8 8" xfId="9003" xr:uid="{8B0E824C-EA17-4FF5-B4B1-05905A6D7D61}"/>
    <cellStyle name="Normal 4 9" xfId="4716" xr:uid="{00000000-0005-0000-0000-0000DD160000}"/>
    <cellStyle name="Normal 4 9 2" xfId="13158" xr:uid="{EAEEF81C-07AB-495C-B7FF-737F690F7EDE}"/>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C487A5C9-BE4A-47F4-AD1C-D51CD20F10E9}"/>
    <cellStyle name="Normal 5 10 2 3" xfId="12388" xr:uid="{D9A43B0C-389F-41C5-A587-886347F91242}"/>
    <cellStyle name="Normal 5 10 3" xfId="6019" xr:uid="{00000000-0005-0000-0000-0000E2160000}"/>
    <cellStyle name="Normal 5 10 3 2" xfId="14461" xr:uid="{FBDE45F5-C53C-4A3E-AF27-52FCA20DB174}"/>
    <cellStyle name="Normal 5 10 4" xfId="10243" xr:uid="{2D6817A5-1CC6-4BDA-9017-578AED4C7D96}"/>
    <cellStyle name="Normal 5 11" xfId="2125" xr:uid="{00000000-0005-0000-0000-0000E3160000}"/>
    <cellStyle name="Normal 5 11 2" xfId="4354" xr:uid="{00000000-0005-0000-0000-0000E4160000}"/>
    <cellStyle name="Normal 5 11 2 2" xfId="8577" xr:uid="{00000000-0005-0000-0000-0000E5160000}"/>
    <cellStyle name="Normal 5 11 2 2 2" xfId="17019" xr:uid="{0787F256-B50B-449E-B7D6-4723AC7DFCE7}"/>
    <cellStyle name="Normal 5 11 2 3" xfId="12801" xr:uid="{6D980731-52BA-4D43-A9D8-4834FF144C72}"/>
    <cellStyle name="Normal 5 11 3" xfId="6432" xr:uid="{00000000-0005-0000-0000-0000E6160000}"/>
    <cellStyle name="Normal 5 11 3 2" xfId="14874" xr:uid="{434462E1-A739-4CCF-87B0-4FF451826A59}"/>
    <cellStyle name="Normal 5 11 4" xfId="10656" xr:uid="{D15E618F-1ED3-4CD5-BFA1-53F874BA6D47}"/>
    <cellStyle name="Normal 5 12" xfId="2561" xr:uid="{00000000-0005-0000-0000-0000E7160000}"/>
    <cellStyle name="Normal 5 12 2" xfId="6845" xr:uid="{00000000-0005-0000-0000-0000E8160000}"/>
    <cellStyle name="Normal 5 12 2 2" xfId="15287" xr:uid="{47C99CE8-513A-41FD-9A00-7DD9F5DC3777}"/>
    <cellStyle name="Normal 5 12 3" xfId="11069" xr:uid="{D7237D13-7342-48C0-9AF8-CB4A0F091D84}"/>
    <cellStyle name="Normal 5 13" xfId="4780" xr:uid="{00000000-0005-0000-0000-0000E9160000}"/>
    <cellStyle name="Normal 5 13 2" xfId="13222" xr:uid="{9AB9084F-5821-4989-96B5-A0213C36CBF2}"/>
    <cellStyle name="Normal 5 14" xfId="9004" xr:uid="{D8FD3E71-9192-497B-A762-D007F084C369}"/>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A20F861F-8606-4FF1-AE0E-E0610FF6C26B}"/>
    <cellStyle name="Normal 5 2 10 2 3" xfId="12802" xr:uid="{55F747DF-DBE0-4B03-843A-0853D3197DF1}"/>
    <cellStyle name="Normal 5 2 10 3" xfId="6433" xr:uid="{00000000-0005-0000-0000-0000EE160000}"/>
    <cellStyle name="Normal 5 2 10 3 2" xfId="14875" xr:uid="{BE905405-6BA2-4FA3-9688-FF37130B123A}"/>
    <cellStyle name="Normal 5 2 10 4" xfId="10657" xr:uid="{2960F3C5-96C9-4987-AF8C-A124CEBA5F47}"/>
    <cellStyle name="Normal 5 2 11" xfId="2562" xr:uid="{00000000-0005-0000-0000-0000EF160000}"/>
    <cellStyle name="Normal 5 2 11 2" xfId="6846" xr:uid="{00000000-0005-0000-0000-0000F0160000}"/>
    <cellStyle name="Normal 5 2 11 2 2" xfId="15288" xr:uid="{4C5D0D25-EC4F-4188-ABAE-2DE4A15CB2B4}"/>
    <cellStyle name="Normal 5 2 11 3" xfId="11070" xr:uid="{F68A4603-DF26-46BD-BBD2-0D2CACAC6E56}"/>
    <cellStyle name="Normal 5 2 12" xfId="4781" xr:uid="{00000000-0005-0000-0000-0000F1160000}"/>
    <cellStyle name="Normal 5 2 12 2" xfId="13223" xr:uid="{873958C4-456E-4B56-9DCF-D1809E6D25D3}"/>
    <cellStyle name="Normal 5 2 13" xfId="9005" xr:uid="{08D49C13-3EDE-4651-B8B8-FE19AB497A53}"/>
    <cellStyle name="Normal 5 2 2" xfId="408" xr:uid="{00000000-0005-0000-0000-0000F2160000}"/>
    <cellStyle name="Normal 5 2 2 10" xfId="2563" xr:uid="{00000000-0005-0000-0000-0000F3160000}"/>
    <cellStyle name="Normal 5 2 2 10 2" xfId="6847" xr:uid="{00000000-0005-0000-0000-0000F4160000}"/>
    <cellStyle name="Normal 5 2 2 10 2 2" xfId="15289" xr:uid="{B8FDFC75-61BD-4EA2-B2FC-14A516D2CB91}"/>
    <cellStyle name="Normal 5 2 2 10 3" xfId="11071" xr:uid="{E6B3C49B-C55B-47FD-8436-109856737014}"/>
    <cellStyle name="Normal 5 2 2 11" xfId="4782" xr:uid="{00000000-0005-0000-0000-0000F5160000}"/>
    <cellStyle name="Normal 5 2 2 11 2" xfId="13224" xr:uid="{A583A7F4-6647-4E11-B035-AC8558775F39}"/>
    <cellStyle name="Normal 5 2 2 12" xfId="9006" xr:uid="{904663EB-6880-4DDD-8C58-E95994BF7730}"/>
    <cellStyle name="Normal 5 2 2 2" xfId="409" xr:uid="{00000000-0005-0000-0000-0000F6160000}"/>
    <cellStyle name="Normal 5 2 2 2 10" xfId="4783" xr:uid="{00000000-0005-0000-0000-0000F7160000}"/>
    <cellStyle name="Normal 5 2 2 2 10 2" xfId="13225" xr:uid="{F56B4EB8-1467-4DE3-A9D4-B45AA529B148}"/>
    <cellStyle name="Normal 5 2 2 2 11" xfId="9007" xr:uid="{7FC1B598-F0E3-47F8-9F01-4F794287BBE5}"/>
    <cellStyle name="Normal 5 2 2 2 2" xfId="410" xr:uid="{00000000-0005-0000-0000-0000F8160000}"/>
    <cellStyle name="Normal 5 2 2 2 2 10" xfId="9008" xr:uid="{4D39E254-6155-4448-BF6B-448DF872FE6D}"/>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CBC88F3F-FF2D-4C93-A54D-FA3068F00644}"/>
    <cellStyle name="Normal 5 2 2 2 2 2 2 2 2 3" xfId="11568" xr:uid="{338A281F-FA1C-4316-9524-92F70F30A423}"/>
    <cellStyle name="Normal 5 2 2 2 2 2 2 2 3" xfId="5199" xr:uid="{00000000-0005-0000-0000-0000FE160000}"/>
    <cellStyle name="Normal 5 2 2 2 2 2 2 2 3 2" xfId="13641" xr:uid="{C580CCFD-1530-4D31-BFBF-0C0FB8FB300B}"/>
    <cellStyle name="Normal 5 2 2 2 2 2 2 2 4" xfId="9423" xr:uid="{72720D5D-9657-443B-AD64-2538C7D0B779}"/>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7092EDFC-3A02-4A81-AEAA-6BB43F35C734}"/>
    <cellStyle name="Normal 5 2 2 2 2 2 2 3 2 3" xfId="11981" xr:uid="{BDCE146E-1B21-4321-868B-3BBA8FD8BCA5}"/>
    <cellStyle name="Normal 5 2 2 2 2 2 2 3 3" xfId="5612" xr:uid="{00000000-0005-0000-0000-000002170000}"/>
    <cellStyle name="Normal 5 2 2 2 2 2 2 3 3 2" xfId="14054" xr:uid="{76F4AB5A-2A0F-433C-9879-97637706CF13}"/>
    <cellStyle name="Normal 5 2 2 2 2 2 2 3 4" xfId="9836" xr:uid="{7401C700-1DBC-41C9-AC37-3CBE0F75340B}"/>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3140930F-12F5-49A4-9EB6-0A82FBB4060F}"/>
    <cellStyle name="Normal 5 2 2 2 2 2 2 4 2 3" xfId="12394" xr:uid="{6D2986CB-0ACA-42B1-95CF-41CEA7463430}"/>
    <cellStyle name="Normal 5 2 2 2 2 2 2 4 3" xfId="6025" xr:uid="{00000000-0005-0000-0000-000006170000}"/>
    <cellStyle name="Normal 5 2 2 2 2 2 2 4 3 2" xfId="14467" xr:uid="{B9A1EE5F-3C36-417C-81CC-E1C36329221A}"/>
    <cellStyle name="Normal 5 2 2 2 2 2 2 4 4" xfId="10249" xr:uid="{2FB8E161-6A84-47CC-98DA-5D76AFF5B42F}"/>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E7F0FBD2-0FEB-49C2-AFDC-C237478BB6F0}"/>
    <cellStyle name="Normal 5 2 2 2 2 2 2 5 2 3" xfId="12807" xr:uid="{7E05A1C5-109A-4E78-86EC-30AFE159924B}"/>
    <cellStyle name="Normal 5 2 2 2 2 2 2 5 3" xfId="6438" xr:uid="{00000000-0005-0000-0000-00000A170000}"/>
    <cellStyle name="Normal 5 2 2 2 2 2 2 5 3 2" xfId="14880" xr:uid="{83801DA9-115A-4774-BFF7-56D7FD1D0E4F}"/>
    <cellStyle name="Normal 5 2 2 2 2 2 2 5 4" xfId="10662" xr:uid="{4D66BC51-69D1-4E31-9047-4BEDA2DFF194}"/>
    <cellStyle name="Normal 5 2 2 2 2 2 2 6" xfId="2567" xr:uid="{00000000-0005-0000-0000-00000B170000}"/>
    <cellStyle name="Normal 5 2 2 2 2 2 2 6 2" xfId="6851" xr:uid="{00000000-0005-0000-0000-00000C170000}"/>
    <cellStyle name="Normal 5 2 2 2 2 2 2 6 2 2" xfId="15293" xr:uid="{9AAA70B1-A190-4EF2-A591-BB9361E5BDA1}"/>
    <cellStyle name="Normal 5 2 2 2 2 2 2 6 3" xfId="11075" xr:uid="{51E1044D-B3E5-428C-BCF2-991DAC63BF17}"/>
    <cellStyle name="Normal 5 2 2 2 2 2 2 7" xfId="4786" xr:uid="{00000000-0005-0000-0000-00000D170000}"/>
    <cellStyle name="Normal 5 2 2 2 2 2 2 7 2" xfId="13228" xr:uid="{D70A7201-5B9F-4E18-B9E4-E88C78FDD09A}"/>
    <cellStyle name="Normal 5 2 2 2 2 2 2 8" xfId="9010" xr:uid="{1D871429-26BD-47D5-913A-7E1E5D947CDD}"/>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D04E3704-49DD-4800-ACE7-A8AB58AF3CCA}"/>
    <cellStyle name="Normal 5 2 2 2 2 2 3 2 3" xfId="11567" xr:uid="{33C6804A-4EE9-4E4B-9297-261EF303356C}"/>
    <cellStyle name="Normal 5 2 2 2 2 2 3 3" xfId="5198" xr:uid="{00000000-0005-0000-0000-000011170000}"/>
    <cellStyle name="Normal 5 2 2 2 2 2 3 3 2" xfId="13640" xr:uid="{6F3583E5-2256-49E3-A4F2-6D8FD64F29DA}"/>
    <cellStyle name="Normal 5 2 2 2 2 2 3 4" xfId="9422" xr:uid="{1CA3AE05-1646-4250-A47F-17384C1FF394}"/>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EE263442-DB95-412A-BBF5-37001EDA3441}"/>
    <cellStyle name="Normal 5 2 2 2 2 2 4 2 3" xfId="11980" xr:uid="{6A52AD95-03DE-45D3-AC4F-32AFADD0974B}"/>
    <cellStyle name="Normal 5 2 2 2 2 2 4 3" xfId="5611" xr:uid="{00000000-0005-0000-0000-000015170000}"/>
    <cellStyle name="Normal 5 2 2 2 2 2 4 3 2" xfId="14053" xr:uid="{0F7C48BF-B2BA-4945-BC34-94D0E43A5B0B}"/>
    <cellStyle name="Normal 5 2 2 2 2 2 4 4" xfId="9835" xr:uid="{6ED322FF-C325-4E05-8875-FB9B68F12A9B}"/>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C8E896EC-1FFF-469B-B199-B183E5828A34}"/>
    <cellStyle name="Normal 5 2 2 2 2 2 5 2 3" xfId="12393" xr:uid="{2CCAFE42-4C8D-48D0-9371-5A7A18017D43}"/>
    <cellStyle name="Normal 5 2 2 2 2 2 5 3" xfId="6024" xr:uid="{00000000-0005-0000-0000-000019170000}"/>
    <cellStyle name="Normal 5 2 2 2 2 2 5 3 2" xfId="14466" xr:uid="{BF0CB75E-B82A-4499-8188-F849C69BDECB}"/>
    <cellStyle name="Normal 5 2 2 2 2 2 5 4" xfId="10248" xr:uid="{3611367D-22D8-40C9-9A1A-A4DECAA3483F}"/>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D120E616-D904-458A-A26F-236A66906126}"/>
    <cellStyle name="Normal 5 2 2 2 2 2 6 2 3" xfId="12806" xr:uid="{E4BFD1DC-F7C1-4000-8E88-0493D4A4BD3E}"/>
    <cellStyle name="Normal 5 2 2 2 2 2 6 3" xfId="6437" xr:uid="{00000000-0005-0000-0000-00001D170000}"/>
    <cellStyle name="Normal 5 2 2 2 2 2 6 3 2" xfId="14879" xr:uid="{77E414EF-6779-42EF-8DFE-0FA991C1024C}"/>
    <cellStyle name="Normal 5 2 2 2 2 2 6 4" xfId="10661" xr:uid="{AFC23CEF-C8C4-436C-9726-A64F6216EADB}"/>
    <cellStyle name="Normal 5 2 2 2 2 2 7" xfId="2566" xr:uid="{00000000-0005-0000-0000-00001E170000}"/>
    <cellStyle name="Normal 5 2 2 2 2 2 7 2" xfId="6850" xr:uid="{00000000-0005-0000-0000-00001F170000}"/>
    <cellStyle name="Normal 5 2 2 2 2 2 7 2 2" xfId="15292" xr:uid="{BDA7B297-CC11-4591-B487-57E2BB713C1A}"/>
    <cellStyle name="Normal 5 2 2 2 2 2 7 3" xfId="11074" xr:uid="{2ADF82E8-07F2-4A4C-8F26-184A8A1546FE}"/>
    <cellStyle name="Normal 5 2 2 2 2 2 8" xfId="4785" xr:uid="{00000000-0005-0000-0000-000020170000}"/>
    <cellStyle name="Normal 5 2 2 2 2 2 8 2" xfId="13227" xr:uid="{E27F2C71-DD13-4A6A-825A-D8D915F76FF5}"/>
    <cellStyle name="Normal 5 2 2 2 2 2 9" xfId="9009" xr:uid="{00B0ED46-BFC8-41D8-8F82-13268A42114F}"/>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23DE0E0A-6ADF-4D43-A756-5DCB8FC827B4}"/>
    <cellStyle name="Normal 5 2 2 2 2 3 2 2 3" xfId="11569" xr:uid="{3603BF80-AD67-487D-BA2D-FCE63BFFD5B2}"/>
    <cellStyle name="Normal 5 2 2 2 2 3 2 3" xfId="5200" xr:uid="{00000000-0005-0000-0000-000025170000}"/>
    <cellStyle name="Normal 5 2 2 2 2 3 2 3 2" xfId="13642" xr:uid="{770CA383-7BA7-4EB9-A8B7-DCFCE69216AF}"/>
    <cellStyle name="Normal 5 2 2 2 2 3 2 4" xfId="9424" xr:uid="{6E9CEB9F-E1C4-456D-BDED-58E0C4074FE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2BC7D662-68A9-450C-B4F8-8BBDCD419D7C}"/>
    <cellStyle name="Normal 5 2 2 2 2 3 3 2 3" xfId="11982" xr:uid="{A0D8673B-36BF-41D5-8AAB-485579E81F01}"/>
    <cellStyle name="Normal 5 2 2 2 2 3 3 3" xfId="5613" xr:uid="{00000000-0005-0000-0000-000029170000}"/>
    <cellStyle name="Normal 5 2 2 2 2 3 3 3 2" xfId="14055" xr:uid="{CCA0FC7E-774A-4ECD-8F57-95DAEDA9EEDC}"/>
    <cellStyle name="Normal 5 2 2 2 2 3 3 4" xfId="9837" xr:uid="{070736D6-F6EA-435E-87A7-C58D53073716}"/>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BB62CA80-F424-4133-8433-002951AF1F79}"/>
    <cellStyle name="Normal 5 2 2 2 2 3 4 2 3" xfId="12395" xr:uid="{28588943-7971-4EE0-AE58-F11A0CEC201C}"/>
    <cellStyle name="Normal 5 2 2 2 2 3 4 3" xfId="6026" xr:uid="{00000000-0005-0000-0000-00002D170000}"/>
    <cellStyle name="Normal 5 2 2 2 2 3 4 3 2" xfId="14468" xr:uid="{54C0540F-C74B-4F6F-B35D-0FDD2FC43758}"/>
    <cellStyle name="Normal 5 2 2 2 2 3 4 4" xfId="10250" xr:uid="{6039687B-E9AB-46F1-8F93-DEF843E974FB}"/>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64317575-5F1D-45F9-8941-844FD927B0E7}"/>
    <cellStyle name="Normal 5 2 2 2 2 3 5 2 3" xfId="12808" xr:uid="{33F86531-BDA7-4476-8DC9-B15D7678C266}"/>
    <cellStyle name="Normal 5 2 2 2 2 3 5 3" xfId="6439" xr:uid="{00000000-0005-0000-0000-000031170000}"/>
    <cellStyle name="Normal 5 2 2 2 2 3 5 3 2" xfId="14881" xr:uid="{29D9B656-BD09-4311-B025-D4DEF26619F8}"/>
    <cellStyle name="Normal 5 2 2 2 2 3 5 4" xfId="10663" xr:uid="{F4E86D9D-F507-4A7C-9A4E-10F4EA983FD9}"/>
    <cellStyle name="Normal 5 2 2 2 2 3 6" xfId="2568" xr:uid="{00000000-0005-0000-0000-000032170000}"/>
    <cellStyle name="Normal 5 2 2 2 2 3 6 2" xfId="6852" xr:uid="{00000000-0005-0000-0000-000033170000}"/>
    <cellStyle name="Normal 5 2 2 2 2 3 6 2 2" xfId="15294" xr:uid="{AA6F3B9C-0E0A-40B2-B835-781EFE4781D7}"/>
    <cellStyle name="Normal 5 2 2 2 2 3 6 3" xfId="11076" xr:uid="{3C9AD236-9625-4983-8E6D-8AF7488DBFAB}"/>
    <cellStyle name="Normal 5 2 2 2 2 3 7" xfId="4787" xr:uid="{00000000-0005-0000-0000-000034170000}"/>
    <cellStyle name="Normal 5 2 2 2 2 3 7 2" xfId="13229" xr:uid="{D3FD810B-6F4D-4328-9441-190E12E7FA60}"/>
    <cellStyle name="Normal 5 2 2 2 2 3 8" xfId="9011" xr:uid="{1A819403-A2D2-45FD-80D7-21C38CA2720D}"/>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2175D1AC-2B94-451D-A5BC-0E138CC38A4F}"/>
    <cellStyle name="Normal 5 2 2 2 2 4 2 3" xfId="11566" xr:uid="{8520A398-A4DA-4E3D-8F13-0962819C7A6B}"/>
    <cellStyle name="Normal 5 2 2 2 2 4 3" xfId="5197" xr:uid="{00000000-0005-0000-0000-000038170000}"/>
    <cellStyle name="Normal 5 2 2 2 2 4 3 2" xfId="13639" xr:uid="{D5EA31D4-74C7-4129-9826-E2EF0B02AF7F}"/>
    <cellStyle name="Normal 5 2 2 2 2 4 4" xfId="9421" xr:uid="{7FA48711-ED67-46EA-86AE-70AEEAE1A725}"/>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19A7169A-F254-454F-8108-F5F396D4F425}"/>
    <cellStyle name="Normal 5 2 2 2 2 5 2 3" xfId="11979" xr:uid="{151BBE4D-F424-4F91-B654-3412EB3B903F}"/>
    <cellStyle name="Normal 5 2 2 2 2 5 3" xfId="5610" xr:uid="{00000000-0005-0000-0000-00003C170000}"/>
    <cellStyle name="Normal 5 2 2 2 2 5 3 2" xfId="14052" xr:uid="{94DE8F35-6E8E-46D5-B28C-72DD5ED8FE7E}"/>
    <cellStyle name="Normal 5 2 2 2 2 5 4" xfId="9834" xr:uid="{2A228CD0-F8C5-4E26-8752-E43527ECAAF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C5A42C95-799C-4B27-8839-FC8FF743A947}"/>
    <cellStyle name="Normal 5 2 2 2 2 6 2 3" xfId="12392" xr:uid="{F40B270C-D1C0-427B-8E2C-36396DE1C89D}"/>
    <cellStyle name="Normal 5 2 2 2 2 6 3" xfId="6023" xr:uid="{00000000-0005-0000-0000-000040170000}"/>
    <cellStyle name="Normal 5 2 2 2 2 6 3 2" xfId="14465" xr:uid="{373FFE45-CFC0-4E17-B077-AD8E6D0E56A0}"/>
    <cellStyle name="Normal 5 2 2 2 2 6 4" xfId="10247" xr:uid="{6659DDFA-BE7E-4615-98C0-BCDD0F464E1E}"/>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305F7F82-7B07-42D5-95AA-CD1122D5A409}"/>
    <cellStyle name="Normal 5 2 2 2 2 7 2 3" xfId="12805" xr:uid="{E285BE1D-FC49-40CF-9C11-A22ED5DFA705}"/>
    <cellStyle name="Normal 5 2 2 2 2 7 3" xfId="6436" xr:uid="{00000000-0005-0000-0000-000044170000}"/>
    <cellStyle name="Normal 5 2 2 2 2 7 3 2" xfId="14878" xr:uid="{8FB37332-4894-4AC4-AED1-3FDBDE3A6C8C}"/>
    <cellStyle name="Normal 5 2 2 2 2 7 4" xfId="10660" xr:uid="{C1A20C80-2417-475A-A952-EC050A66FC7F}"/>
    <cellStyle name="Normal 5 2 2 2 2 8" xfId="2565" xr:uid="{00000000-0005-0000-0000-000045170000}"/>
    <cellStyle name="Normal 5 2 2 2 2 8 2" xfId="6849" xr:uid="{00000000-0005-0000-0000-000046170000}"/>
    <cellStyle name="Normal 5 2 2 2 2 8 2 2" xfId="15291" xr:uid="{12DE9E74-A50E-4DC9-9718-E0E40DCDB9EA}"/>
    <cellStyle name="Normal 5 2 2 2 2 8 3" xfId="11073" xr:uid="{39ED105F-B15F-4A21-BDBD-F24788A0C270}"/>
    <cellStyle name="Normal 5 2 2 2 2 9" xfId="4784" xr:uid="{00000000-0005-0000-0000-000047170000}"/>
    <cellStyle name="Normal 5 2 2 2 2 9 2" xfId="13226" xr:uid="{8EB8E53D-12D6-43C5-8747-34F12AAC5084}"/>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C0C0FC5C-5754-458A-9E3E-BED19626CCB7}"/>
    <cellStyle name="Normal 5 2 2 2 3 2 2 2 3" xfId="11571" xr:uid="{891744B2-B988-4C95-BAFF-9F5BEAEE4669}"/>
    <cellStyle name="Normal 5 2 2 2 3 2 2 3" xfId="5202" xr:uid="{00000000-0005-0000-0000-00004D170000}"/>
    <cellStyle name="Normal 5 2 2 2 3 2 2 3 2" xfId="13644" xr:uid="{B1B174E6-B4DC-48B9-A97C-34A56B4E11C9}"/>
    <cellStyle name="Normal 5 2 2 2 3 2 2 4" xfId="9426" xr:uid="{D5FE834E-347E-4871-B202-38E5EA338A19}"/>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80F4CE4C-7FFE-4D6B-8FA9-28ED00DA78BB}"/>
    <cellStyle name="Normal 5 2 2 2 3 2 3 2 3" xfId="11984" xr:uid="{9F7AC800-7CB7-4A4C-AA0F-AAE24FDF241D}"/>
    <cellStyle name="Normal 5 2 2 2 3 2 3 3" xfId="5615" xr:uid="{00000000-0005-0000-0000-000051170000}"/>
    <cellStyle name="Normal 5 2 2 2 3 2 3 3 2" xfId="14057" xr:uid="{54D99905-30C5-4C6E-954E-798327A1AF31}"/>
    <cellStyle name="Normal 5 2 2 2 3 2 3 4" xfId="9839" xr:uid="{13D8D267-C9A6-41FC-ADAC-3670C18979F5}"/>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88057BF7-F516-45E6-9A89-9515BA4F1A73}"/>
    <cellStyle name="Normal 5 2 2 2 3 2 4 2 3" xfId="12397" xr:uid="{A095537E-A993-4309-B6EC-3D1EB875F3DE}"/>
    <cellStyle name="Normal 5 2 2 2 3 2 4 3" xfId="6028" xr:uid="{00000000-0005-0000-0000-000055170000}"/>
    <cellStyle name="Normal 5 2 2 2 3 2 4 3 2" xfId="14470" xr:uid="{AD42E793-EE7C-4130-A872-6F2843403975}"/>
    <cellStyle name="Normal 5 2 2 2 3 2 4 4" xfId="10252" xr:uid="{EFA58581-A57B-42A7-932A-8A19331FF50E}"/>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6A3EE414-C9E2-4AE1-900E-910074C5BE8A}"/>
    <cellStyle name="Normal 5 2 2 2 3 2 5 2 3" xfId="12810" xr:uid="{1108FAA4-BE70-4FC6-8B67-D18F9E570EF0}"/>
    <cellStyle name="Normal 5 2 2 2 3 2 5 3" xfId="6441" xr:uid="{00000000-0005-0000-0000-000059170000}"/>
    <cellStyle name="Normal 5 2 2 2 3 2 5 3 2" xfId="14883" xr:uid="{A3B8A082-2912-4092-80D8-7BCD26D811D1}"/>
    <cellStyle name="Normal 5 2 2 2 3 2 5 4" xfId="10665" xr:uid="{C0CE38E9-39EE-4B68-8A28-DACC781CFCCC}"/>
    <cellStyle name="Normal 5 2 2 2 3 2 6" xfId="2570" xr:uid="{00000000-0005-0000-0000-00005A170000}"/>
    <cellStyle name="Normal 5 2 2 2 3 2 6 2" xfId="6854" xr:uid="{00000000-0005-0000-0000-00005B170000}"/>
    <cellStyle name="Normal 5 2 2 2 3 2 6 2 2" xfId="15296" xr:uid="{001B0290-D43E-46A4-8D16-48F6C1E70301}"/>
    <cellStyle name="Normal 5 2 2 2 3 2 6 3" xfId="11078" xr:uid="{7E457080-1762-4679-9B75-0D372A50BBD6}"/>
    <cellStyle name="Normal 5 2 2 2 3 2 7" xfId="4789" xr:uid="{00000000-0005-0000-0000-00005C170000}"/>
    <cellStyle name="Normal 5 2 2 2 3 2 7 2" xfId="13231" xr:uid="{EF84E239-B7AC-4E7D-9F0E-CE8CDA8B6A36}"/>
    <cellStyle name="Normal 5 2 2 2 3 2 8" xfId="9013" xr:uid="{3FE7038C-824F-4F7A-A196-2CE3A2093F44}"/>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EC938FCC-5D74-4A59-A61D-CF86D1921A7C}"/>
    <cellStyle name="Normal 5 2 2 2 3 3 2 3" xfId="11570" xr:uid="{1C66D91A-5830-410C-AB27-2DA723602E9F}"/>
    <cellStyle name="Normal 5 2 2 2 3 3 3" xfId="5201" xr:uid="{00000000-0005-0000-0000-000060170000}"/>
    <cellStyle name="Normal 5 2 2 2 3 3 3 2" xfId="13643" xr:uid="{48174913-D455-4A15-8F82-26D447514235}"/>
    <cellStyle name="Normal 5 2 2 2 3 3 4" xfId="9425" xr:uid="{F6E52BFA-58D4-4CA8-ABAB-F79016A738D4}"/>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664F1D2E-31E8-442E-9D37-DE64043D7D3F}"/>
    <cellStyle name="Normal 5 2 2 2 3 4 2 3" xfId="11983" xr:uid="{0EAABC19-1623-4E53-82A5-651281BA865F}"/>
    <cellStyle name="Normal 5 2 2 2 3 4 3" xfId="5614" xr:uid="{00000000-0005-0000-0000-000064170000}"/>
    <cellStyle name="Normal 5 2 2 2 3 4 3 2" xfId="14056" xr:uid="{805A6E22-7081-4F69-B622-6A47AD87C9AC}"/>
    <cellStyle name="Normal 5 2 2 2 3 4 4" xfId="9838" xr:uid="{47296202-6E06-455B-A3EE-01C7F927BBE5}"/>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87246CFF-CCC7-44C8-9803-3A148A635086}"/>
    <cellStyle name="Normal 5 2 2 2 3 5 2 3" xfId="12396" xr:uid="{CB54EB4E-A9A1-4DE7-A1AB-FDC2A7C9A324}"/>
    <cellStyle name="Normal 5 2 2 2 3 5 3" xfId="6027" xr:uid="{00000000-0005-0000-0000-000068170000}"/>
    <cellStyle name="Normal 5 2 2 2 3 5 3 2" xfId="14469" xr:uid="{9C404FC5-B626-4B58-8603-274BAF81E92E}"/>
    <cellStyle name="Normal 5 2 2 2 3 5 4" xfId="10251" xr:uid="{DA5CBE65-0A10-4E71-B35A-08705F601484}"/>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4417FFD5-93DF-4825-B507-36949D17B523}"/>
    <cellStyle name="Normal 5 2 2 2 3 6 2 3" xfId="12809" xr:uid="{D8BFE4EB-7912-46BD-A43D-2E2162CB2077}"/>
    <cellStyle name="Normal 5 2 2 2 3 6 3" xfId="6440" xr:uid="{00000000-0005-0000-0000-00006C170000}"/>
    <cellStyle name="Normal 5 2 2 2 3 6 3 2" xfId="14882" xr:uid="{CF6AFE01-FA28-4753-9A15-DCD3FEB086CC}"/>
    <cellStyle name="Normal 5 2 2 2 3 6 4" xfId="10664" xr:uid="{63605A8D-259A-4360-A7F4-AA91E6C02FD4}"/>
    <cellStyle name="Normal 5 2 2 2 3 7" xfId="2569" xr:uid="{00000000-0005-0000-0000-00006D170000}"/>
    <cellStyle name="Normal 5 2 2 2 3 7 2" xfId="6853" xr:uid="{00000000-0005-0000-0000-00006E170000}"/>
    <cellStyle name="Normal 5 2 2 2 3 7 2 2" xfId="15295" xr:uid="{51562BE0-75BC-4AEE-BDB3-317075C68EE8}"/>
    <cellStyle name="Normal 5 2 2 2 3 7 3" xfId="11077" xr:uid="{88C3AF2A-4849-41B6-B803-216518C90C80}"/>
    <cellStyle name="Normal 5 2 2 2 3 8" xfId="4788" xr:uid="{00000000-0005-0000-0000-00006F170000}"/>
    <cellStyle name="Normal 5 2 2 2 3 8 2" xfId="13230" xr:uid="{6C7DD857-3F12-44D8-BABA-2A3F1E36D776}"/>
    <cellStyle name="Normal 5 2 2 2 3 9" xfId="9012" xr:uid="{B7F1402A-6785-4DF6-850C-1FA5C4F540B5}"/>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EBC26A98-EF9B-47A1-8269-062191A4CCB8}"/>
    <cellStyle name="Normal 5 2 2 2 4 2 2 3" xfId="11572" xr:uid="{00423A8E-66D7-41A4-879B-240837FECE4A}"/>
    <cellStyle name="Normal 5 2 2 2 4 2 3" xfId="5203" xr:uid="{00000000-0005-0000-0000-000074170000}"/>
    <cellStyle name="Normal 5 2 2 2 4 2 3 2" xfId="13645" xr:uid="{7B21FE2F-C818-4F4C-A089-3EED9A1A6B99}"/>
    <cellStyle name="Normal 5 2 2 2 4 2 4" xfId="9427" xr:uid="{41B82769-3276-4901-8DD5-E40C39A8F39C}"/>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0DA88501-F797-47CF-B684-788B857A8F35}"/>
    <cellStyle name="Normal 5 2 2 2 4 3 2 3" xfId="11985" xr:uid="{37FC2A4D-7F89-41C0-BEBA-D86B5A7D0774}"/>
    <cellStyle name="Normal 5 2 2 2 4 3 3" xfId="5616" xr:uid="{00000000-0005-0000-0000-000078170000}"/>
    <cellStyle name="Normal 5 2 2 2 4 3 3 2" xfId="14058" xr:uid="{9CCA5E98-073E-44DD-A0D0-D62A543A0561}"/>
    <cellStyle name="Normal 5 2 2 2 4 3 4" xfId="9840" xr:uid="{EB064A1F-3DDC-415C-9ECB-03F1B359B99A}"/>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C20A488A-7C5F-411D-910B-87B2D12B6D38}"/>
    <cellStyle name="Normal 5 2 2 2 4 4 2 3" xfId="12398" xr:uid="{FDF339D9-608D-4997-928C-F0703AF8B225}"/>
    <cellStyle name="Normal 5 2 2 2 4 4 3" xfId="6029" xr:uid="{00000000-0005-0000-0000-00007C170000}"/>
    <cellStyle name="Normal 5 2 2 2 4 4 3 2" xfId="14471" xr:uid="{52D0C264-E25D-45FA-A4BD-FA1CA3A539AD}"/>
    <cellStyle name="Normal 5 2 2 2 4 4 4" xfId="10253" xr:uid="{9FDFBDCC-5F50-4BC8-B492-6761581F2357}"/>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9E39276E-9A3E-452F-B892-5B98891DE81F}"/>
    <cellStyle name="Normal 5 2 2 2 4 5 2 3" xfId="12811" xr:uid="{67B6A628-DBF3-404E-86CE-54D63F9582B8}"/>
    <cellStyle name="Normal 5 2 2 2 4 5 3" xfId="6442" xr:uid="{00000000-0005-0000-0000-000080170000}"/>
    <cellStyle name="Normal 5 2 2 2 4 5 3 2" xfId="14884" xr:uid="{B2501EDD-872E-4025-8896-4CCCD9E14AE0}"/>
    <cellStyle name="Normal 5 2 2 2 4 5 4" xfId="10666" xr:uid="{5D3AF959-569F-4B9F-BED6-136DD83A6781}"/>
    <cellStyle name="Normal 5 2 2 2 4 6" xfId="2571" xr:uid="{00000000-0005-0000-0000-000081170000}"/>
    <cellStyle name="Normal 5 2 2 2 4 6 2" xfId="6855" xr:uid="{00000000-0005-0000-0000-000082170000}"/>
    <cellStyle name="Normal 5 2 2 2 4 6 2 2" xfId="15297" xr:uid="{5B8779B2-C73F-4EE1-A430-EABADFD9D6AD}"/>
    <cellStyle name="Normal 5 2 2 2 4 6 3" xfId="11079" xr:uid="{3CED7532-BF58-4000-A00E-BF7606E44CCB}"/>
    <cellStyle name="Normal 5 2 2 2 4 7" xfId="4790" xr:uid="{00000000-0005-0000-0000-000083170000}"/>
    <cellStyle name="Normal 5 2 2 2 4 7 2" xfId="13232" xr:uid="{81E795EA-BAD2-43D9-985D-5C3DE755152F}"/>
    <cellStyle name="Normal 5 2 2 2 4 8" xfId="9014" xr:uid="{73C6A0E6-19B3-473B-8088-CDDA71EC9E37}"/>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01BC2547-3F2B-4E8D-9C24-5366E0B8ABCD}"/>
    <cellStyle name="Normal 5 2 2 2 5 2 3" xfId="11565" xr:uid="{CC5586DA-7C42-48E4-BB38-D2D520C8DBD6}"/>
    <cellStyle name="Normal 5 2 2 2 5 3" xfId="5196" xr:uid="{00000000-0005-0000-0000-000087170000}"/>
    <cellStyle name="Normal 5 2 2 2 5 3 2" xfId="13638" xr:uid="{85980985-875C-4FE1-B502-78ED688ECDEE}"/>
    <cellStyle name="Normal 5 2 2 2 5 4" xfId="9420" xr:uid="{4BB5198D-FC48-486C-97C3-64CB313CD996}"/>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E84EDD00-96FA-4F08-BD45-B69E7FCB83BF}"/>
    <cellStyle name="Normal 5 2 2 2 6 2 3" xfId="11978" xr:uid="{D4B49A5F-ED9F-496E-B4BF-736E3991DE3C}"/>
    <cellStyle name="Normal 5 2 2 2 6 3" xfId="5609" xr:uid="{00000000-0005-0000-0000-00008B170000}"/>
    <cellStyle name="Normal 5 2 2 2 6 3 2" xfId="14051" xr:uid="{A59C468C-98A0-4181-86A8-D7CC8D185EC3}"/>
    <cellStyle name="Normal 5 2 2 2 6 4" xfId="9833" xr:uid="{AD57B423-3C8F-4CD3-B0E6-9B40706AC029}"/>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8E3B60B1-D6D8-42D9-9623-8BCDA34249E1}"/>
    <cellStyle name="Normal 5 2 2 2 7 2 3" xfId="12391" xr:uid="{9E501DD7-26BE-4146-909B-4DD68423C823}"/>
    <cellStyle name="Normal 5 2 2 2 7 3" xfId="6022" xr:uid="{00000000-0005-0000-0000-00008F170000}"/>
    <cellStyle name="Normal 5 2 2 2 7 3 2" xfId="14464" xr:uid="{645306E0-3369-422A-99A8-C4160A33C708}"/>
    <cellStyle name="Normal 5 2 2 2 7 4" xfId="10246" xr:uid="{ADF635C7-540E-449A-9B44-FBE07922F872}"/>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949D9878-4733-490F-9552-7AD9C6B69055}"/>
    <cellStyle name="Normal 5 2 2 2 8 2 3" xfId="12804" xr:uid="{AC0C94E2-3052-4719-A2AF-D36F462E047F}"/>
    <cellStyle name="Normal 5 2 2 2 8 3" xfId="6435" xr:uid="{00000000-0005-0000-0000-000093170000}"/>
    <cellStyle name="Normal 5 2 2 2 8 3 2" xfId="14877" xr:uid="{B91F6346-C6DD-4062-9836-D0A7BD5F9259}"/>
    <cellStyle name="Normal 5 2 2 2 8 4" xfId="10659" xr:uid="{9A2D6D4C-2659-48BC-87A3-9A560938553B}"/>
    <cellStyle name="Normal 5 2 2 2 9" xfId="2564" xr:uid="{00000000-0005-0000-0000-000094170000}"/>
    <cellStyle name="Normal 5 2 2 2 9 2" xfId="6848" xr:uid="{00000000-0005-0000-0000-000095170000}"/>
    <cellStyle name="Normal 5 2 2 2 9 2 2" xfId="15290" xr:uid="{2EE69C6B-4906-44F5-88C9-FE9FB7520564}"/>
    <cellStyle name="Normal 5 2 2 2 9 3" xfId="11072" xr:uid="{64DBB5F5-3E82-42BB-9DE7-52521D0788E8}"/>
    <cellStyle name="Normal 5 2 2 3" xfId="417" xr:uid="{00000000-0005-0000-0000-000096170000}"/>
    <cellStyle name="Normal 5 2 2 3 10" xfId="9015" xr:uid="{4D9C4EDE-246D-4380-9569-011F19FBBBA8}"/>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368B627F-EB77-40A4-BEAC-DC9659B1DA82}"/>
    <cellStyle name="Normal 5 2 2 3 2 2 2 2 3" xfId="11575" xr:uid="{AB47B6DE-9EC9-4DD7-8145-40AF59CFC6EC}"/>
    <cellStyle name="Normal 5 2 2 3 2 2 2 3" xfId="5206" xr:uid="{00000000-0005-0000-0000-00009C170000}"/>
    <cellStyle name="Normal 5 2 2 3 2 2 2 3 2" xfId="13648" xr:uid="{9C70415B-526F-44AF-92CA-63A9817FB011}"/>
    <cellStyle name="Normal 5 2 2 3 2 2 2 4" xfId="9430" xr:uid="{BD811DDB-7A29-4EAC-9C4A-D42E952152E9}"/>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89ACD03A-BEA6-4D38-879E-8B3A5C9711C7}"/>
    <cellStyle name="Normal 5 2 2 3 2 2 3 2 3" xfId="11988" xr:uid="{74F347A3-1846-4351-9D97-356B162E7EE4}"/>
    <cellStyle name="Normal 5 2 2 3 2 2 3 3" xfId="5619" xr:uid="{00000000-0005-0000-0000-0000A0170000}"/>
    <cellStyle name="Normal 5 2 2 3 2 2 3 3 2" xfId="14061" xr:uid="{8219A3B6-29B5-4A85-B5CF-11243905D55E}"/>
    <cellStyle name="Normal 5 2 2 3 2 2 3 4" xfId="9843" xr:uid="{ACC3D07D-34B5-47F5-9FEE-8C76E13248F2}"/>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BAD132B9-8522-4255-B2A5-827B6BF5508D}"/>
    <cellStyle name="Normal 5 2 2 3 2 2 4 2 3" xfId="12401" xr:uid="{719BF2C6-6028-4A47-AE59-99567D90803D}"/>
    <cellStyle name="Normal 5 2 2 3 2 2 4 3" xfId="6032" xr:uid="{00000000-0005-0000-0000-0000A4170000}"/>
    <cellStyle name="Normal 5 2 2 3 2 2 4 3 2" xfId="14474" xr:uid="{BFB3CCF3-0494-4476-A159-518FDE10E082}"/>
    <cellStyle name="Normal 5 2 2 3 2 2 4 4" xfId="10256" xr:uid="{C8903BBB-1F2E-4A25-A6B0-B005D36BB6F2}"/>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EBA58D14-C7BA-4CA9-8039-A589D78A84D8}"/>
    <cellStyle name="Normal 5 2 2 3 2 2 5 2 3" xfId="12814" xr:uid="{876FB242-4481-447C-925E-A7E29FAC5E2B}"/>
    <cellStyle name="Normal 5 2 2 3 2 2 5 3" xfId="6445" xr:uid="{00000000-0005-0000-0000-0000A8170000}"/>
    <cellStyle name="Normal 5 2 2 3 2 2 5 3 2" xfId="14887" xr:uid="{91E56903-5B60-483C-B8B8-11A9F04AEA86}"/>
    <cellStyle name="Normal 5 2 2 3 2 2 5 4" xfId="10669" xr:uid="{DC6AB560-8471-4BAC-A8AE-028BD5844516}"/>
    <cellStyle name="Normal 5 2 2 3 2 2 6" xfId="2574" xr:uid="{00000000-0005-0000-0000-0000A9170000}"/>
    <cellStyle name="Normal 5 2 2 3 2 2 6 2" xfId="6858" xr:uid="{00000000-0005-0000-0000-0000AA170000}"/>
    <cellStyle name="Normal 5 2 2 3 2 2 6 2 2" xfId="15300" xr:uid="{F45FE201-2ABB-429E-8260-3FDF3FB07722}"/>
    <cellStyle name="Normal 5 2 2 3 2 2 6 3" xfId="11082" xr:uid="{EBE97FFA-BCE3-43FB-AFDC-812F560ED055}"/>
    <cellStyle name="Normal 5 2 2 3 2 2 7" xfId="4793" xr:uid="{00000000-0005-0000-0000-0000AB170000}"/>
    <cellStyle name="Normal 5 2 2 3 2 2 7 2" xfId="13235" xr:uid="{B99DC90A-CF93-411B-8007-06A613044F14}"/>
    <cellStyle name="Normal 5 2 2 3 2 2 8" xfId="9017" xr:uid="{A9BCC73A-0DCC-40D5-B9E6-8B94674C67E9}"/>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171C1F15-C0F1-4956-9203-A227B7213C11}"/>
    <cellStyle name="Normal 5 2 2 3 2 3 2 3" xfId="11574" xr:uid="{89AF2A3E-17EE-43B0-AA44-1F381CB71A6E}"/>
    <cellStyle name="Normal 5 2 2 3 2 3 3" xfId="5205" xr:uid="{00000000-0005-0000-0000-0000AF170000}"/>
    <cellStyle name="Normal 5 2 2 3 2 3 3 2" xfId="13647" xr:uid="{C50831F5-EBF6-4654-99A9-DCB1FFB81CEE}"/>
    <cellStyle name="Normal 5 2 2 3 2 3 4" xfId="9429" xr:uid="{6FF07E2A-006E-476A-8C1A-8B88C9D859D6}"/>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A18F7DA4-104C-49F1-91F0-70632A418385}"/>
    <cellStyle name="Normal 5 2 2 3 2 4 2 3" xfId="11987" xr:uid="{F598926B-0CF0-41CC-AFB2-BC46F6FCCF1A}"/>
    <cellStyle name="Normal 5 2 2 3 2 4 3" xfId="5618" xr:uid="{00000000-0005-0000-0000-0000B3170000}"/>
    <cellStyle name="Normal 5 2 2 3 2 4 3 2" xfId="14060" xr:uid="{0E95F823-E0BE-4989-95DC-7DA67555B032}"/>
    <cellStyle name="Normal 5 2 2 3 2 4 4" xfId="9842" xr:uid="{E8C2D26E-A0C9-4EDD-8C81-FA218335BDD2}"/>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3C079D45-B1DD-4917-9A39-4704272CCB3E}"/>
    <cellStyle name="Normal 5 2 2 3 2 5 2 3" xfId="12400" xr:uid="{BC75B83C-B3FC-4900-A0E2-617A192AA71B}"/>
    <cellStyle name="Normal 5 2 2 3 2 5 3" xfId="6031" xr:uid="{00000000-0005-0000-0000-0000B7170000}"/>
    <cellStyle name="Normal 5 2 2 3 2 5 3 2" xfId="14473" xr:uid="{03D48ECA-B372-43FF-8535-617EA8FED695}"/>
    <cellStyle name="Normal 5 2 2 3 2 5 4" xfId="10255" xr:uid="{A533FDC7-2AC6-4A69-8DD1-0853B066B0DE}"/>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FD008D2C-EB23-4E3B-B506-6AC744896938}"/>
    <cellStyle name="Normal 5 2 2 3 2 6 2 3" xfId="12813" xr:uid="{902B095E-229A-4825-A103-3605DA03C7E6}"/>
    <cellStyle name="Normal 5 2 2 3 2 6 3" xfId="6444" xr:uid="{00000000-0005-0000-0000-0000BB170000}"/>
    <cellStyle name="Normal 5 2 2 3 2 6 3 2" xfId="14886" xr:uid="{7A245AA9-A7E9-44F3-9F24-93509CFABD2D}"/>
    <cellStyle name="Normal 5 2 2 3 2 6 4" xfId="10668" xr:uid="{0D8D0E8B-B30A-4F9A-8AA6-CA21C88F6FF1}"/>
    <cellStyle name="Normal 5 2 2 3 2 7" xfId="2573" xr:uid="{00000000-0005-0000-0000-0000BC170000}"/>
    <cellStyle name="Normal 5 2 2 3 2 7 2" xfId="6857" xr:uid="{00000000-0005-0000-0000-0000BD170000}"/>
    <cellStyle name="Normal 5 2 2 3 2 7 2 2" xfId="15299" xr:uid="{783D110D-87B6-4520-86AF-1877F00243A7}"/>
    <cellStyle name="Normal 5 2 2 3 2 7 3" xfId="11081" xr:uid="{3D9F079C-4107-42AC-B05C-E79781A48AB0}"/>
    <cellStyle name="Normal 5 2 2 3 2 8" xfId="4792" xr:uid="{00000000-0005-0000-0000-0000BE170000}"/>
    <cellStyle name="Normal 5 2 2 3 2 8 2" xfId="13234" xr:uid="{0C39F7DE-45A8-41DD-8079-B2BB4CF35487}"/>
    <cellStyle name="Normal 5 2 2 3 2 9" xfId="9016" xr:uid="{B25ECA86-2C25-4416-B85D-187EBE108FFF}"/>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712B3BCA-DFCA-4CFD-BD79-43F6E300B9A1}"/>
    <cellStyle name="Normal 5 2 2 3 3 2 2 3" xfId="11576" xr:uid="{87F31C75-EE09-4740-9538-5A0F4CA746ED}"/>
    <cellStyle name="Normal 5 2 2 3 3 2 3" xfId="5207" xr:uid="{00000000-0005-0000-0000-0000C3170000}"/>
    <cellStyle name="Normal 5 2 2 3 3 2 3 2" xfId="13649" xr:uid="{FBF09329-A7AA-4936-9C73-DF5BF63E58D9}"/>
    <cellStyle name="Normal 5 2 2 3 3 2 4" xfId="9431" xr:uid="{9BE5C04F-4A31-4BAD-B56B-2C98F655D698}"/>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DC81E08D-10EC-4AAF-B0F1-B6F1A2F34CDC}"/>
    <cellStyle name="Normal 5 2 2 3 3 3 2 3" xfId="11989" xr:uid="{02C356D4-FBF5-4454-B870-CCA9C39AE498}"/>
    <cellStyle name="Normal 5 2 2 3 3 3 3" xfId="5620" xr:uid="{00000000-0005-0000-0000-0000C7170000}"/>
    <cellStyle name="Normal 5 2 2 3 3 3 3 2" xfId="14062" xr:uid="{6DA536D1-8D16-4C7A-BCA8-0DDAA5C0AC46}"/>
    <cellStyle name="Normal 5 2 2 3 3 3 4" xfId="9844" xr:uid="{75BEF09C-AA95-4185-87CC-9728468FAEEE}"/>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5F4E7EB5-198B-4436-A6FE-306B97C00493}"/>
    <cellStyle name="Normal 5 2 2 3 3 4 2 3" xfId="12402" xr:uid="{1EA34E2B-7646-4C30-BD6D-A8FBB7DE33B7}"/>
    <cellStyle name="Normal 5 2 2 3 3 4 3" xfId="6033" xr:uid="{00000000-0005-0000-0000-0000CB170000}"/>
    <cellStyle name="Normal 5 2 2 3 3 4 3 2" xfId="14475" xr:uid="{62BB3AD3-F978-4314-9215-F362AC439380}"/>
    <cellStyle name="Normal 5 2 2 3 3 4 4" xfId="10257" xr:uid="{8BBBE13B-FBE3-46F7-8364-F69FC305F438}"/>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0D41ACB4-4B4E-443E-B78F-2DB9E9501802}"/>
    <cellStyle name="Normal 5 2 2 3 3 5 2 3" xfId="12815" xr:uid="{A939F03B-92C1-43C2-A031-985205C65FE1}"/>
    <cellStyle name="Normal 5 2 2 3 3 5 3" xfId="6446" xr:uid="{00000000-0005-0000-0000-0000CF170000}"/>
    <cellStyle name="Normal 5 2 2 3 3 5 3 2" xfId="14888" xr:uid="{3727E6DA-696D-45A4-B5D8-C3B48F6EE06C}"/>
    <cellStyle name="Normal 5 2 2 3 3 5 4" xfId="10670" xr:uid="{3571B95C-9115-4C8E-A6FB-4538A3C39F88}"/>
    <cellStyle name="Normal 5 2 2 3 3 6" xfId="2575" xr:uid="{00000000-0005-0000-0000-0000D0170000}"/>
    <cellStyle name="Normal 5 2 2 3 3 6 2" xfId="6859" xr:uid="{00000000-0005-0000-0000-0000D1170000}"/>
    <cellStyle name="Normal 5 2 2 3 3 6 2 2" xfId="15301" xr:uid="{68A21878-1AFF-4AC0-B9D4-71E4F15DD6C9}"/>
    <cellStyle name="Normal 5 2 2 3 3 6 3" xfId="11083" xr:uid="{12109889-E4ED-4B67-BECF-1CFF7ED05C76}"/>
    <cellStyle name="Normal 5 2 2 3 3 7" xfId="4794" xr:uid="{00000000-0005-0000-0000-0000D2170000}"/>
    <cellStyle name="Normal 5 2 2 3 3 7 2" xfId="13236" xr:uid="{A6C2E702-C6F9-46E6-9428-D3D3F9CE0C4A}"/>
    <cellStyle name="Normal 5 2 2 3 3 8" xfId="9018" xr:uid="{F24D52A6-543C-4771-93BF-4689E7180C7F}"/>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E95E834D-C152-4F77-871B-FD9737652A46}"/>
    <cellStyle name="Normal 5 2 2 3 4 2 3" xfId="11573" xr:uid="{099E4078-DC2F-41E4-94FA-65E14F63DCCE}"/>
    <cellStyle name="Normal 5 2 2 3 4 3" xfId="5204" xr:uid="{00000000-0005-0000-0000-0000D6170000}"/>
    <cellStyle name="Normal 5 2 2 3 4 3 2" xfId="13646" xr:uid="{33231CBA-D4F0-40D1-9542-6F371053E43C}"/>
    <cellStyle name="Normal 5 2 2 3 4 4" xfId="9428" xr:uid="{740451E1-D245-4DEF-85B4-DB625DF8F9D5}"/>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7F3AB900-A723-4637-BAD6-E51351D372DE}"/>
    <cellStyle name="Normal 5 2 2 3 5 2 3" xfId="11986" xr:uid="{76654798-BC4F-47D0-8F76-0C18E22135CF}"/>
    <cellStyle name="Normal 5 2 2 3 5 3" xfId="5617" xr:uid="{00000000-0005-0000-0000-0000DA170000}"/>
    <cellStyle name="Normal 5 2 2 3 5 3 2" xfId="14059" xr:uid="{76D2169B-C4F5-4A32-A750-E1870EABD440}"/>
    <cellStyle name="Normal 5 2 2 3 5 4" xfId="9841" xr:uid="{6E8AE5BE-F686-4452-8E1A-187A78320426}"/>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D6CC9C4C-5C23-45AB-96FF-E95C90E3AB6C}"/>
    <cellStyle name="Normal 5 2 2 3 6 2 3" xfId="12399" xr:uid="{CDB57DE7-669F-48C9-BC1B-2FB3E612C066}"/>
    <cellStyle name="Normal 5 2 2 3 6 3" xfId="6030" xr:uid="{00000000-0005-0000-0000-0000DE170000}"/>
    <cellStyle name="Normal 5 2 2 3 6 3 2" xfId="14472" xr:uid="{06C121B1-E7D0-4AC8-9A44-1C8CC660E497}"/>
    <cellStyle name="Normal 5 2 2 3 6 4" xfId="10254" xr:uid="{FF623920-4031-4176-905B-25CB6BFCAE24}"/>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56C051E4-D216-4051-AD2F-B37E5BA2DAD6}"/>
    <cellStyle name="Normal 5 2 2 3 7 2 3" xfId="12812" xr:uid="{8ECD7597-A2F3-4113-8D58-E69DD2406D4F}"/>
    <cellStyle name="Normal 5 2 2 3 7 3" xfId="6443" xr:uid="{00000000-0005-0000-0000-0000E2170000}"/>
    <cellStyle name="Normal 5 2 2 3 7 3 2" xfId="14885" xr:uid="{5E83904B-C660-44A2-B8E1-C1F52E3CCB46}"/>
    <cellStyle name="Normal 5 2 2 3 7 4" xfId="10667" xr:uid="{9CCF7C62-5690-46B2-87CF-EB3555C8110C}"/>
    <cellStyle name="Normal 5 2 2 3 8" xfId="2572" xr:uid="{00000000-0005-0000-0000-0000E3170000}"/>
    <cellStyle name="Normal 5 2 2 3 8 2" xfId="6856" xr:uid="{00000000-0005-0000-0000-0000E4170000}"/>
    <cellStyle name="Normal 5 2 2 3 8 2 2" xfId="15298" xr:uid="{20CBE707-78CE-42DB-A478-CD27C0E34642}"/>
    <cellStyle name="Normal 5 2 2 3 8 3" xfId="11080" xr:uid="{528E8248-E249-46B3-AB90-74ACED85FFA0}"/>
    <cellStyle name="Normal 5 2 2 3 9" xfId="4791" xr:uid="{00000000-0005-0000-0000-0000E5170000}"/>
    <cellStyle name="Normal 5 2 2 3 9 2" xfId="13233" xr:uid="{F733EAD6-A1D2-48F9-AFEB-D1F0915484FF}"/>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ABBB050B-B409-48A2-9676-3A52DEFB8766}"/>
    <cellStyle name="Normal 5 2 2 4 2 2 2 3" xfId="11578" xr:uid="{82FA6F47-F855-433D-A350-9804DACF7820}"/>
    <cellStyle name="Normal 5 2 2 4 2 2 3" xfId="5209" xr:uid="{00000000-0005-0000-0000-0000EB170000}"/>
    <cellStyle name="Normal 5 2 2 4 2 2 3 2" xfId="13651" xr:uid="{5B4455F3-1A5F-426A-AF5D-D39EC7AA5B79}"/>
    <cellStyle name="Normal 5 2 2 4 2 2 4" xfId="9433" xr:uid="{8214CD09-88BB-47BF-BE59-C6CDBA9309B3}"/>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87D1FE5C-7E66-4989-A4E4-DC98AB4B4DF6}"/>
    <cellStyle name="Normal 5 2 2 4 2 3 2 3" xfId="11991" xr:uid="{497BCE60-53C0-4E21-A1D8-CAC3725ACD70}"/>
    <cellStyle name="Normal 5 2 2 4 2 3 3" xfId="5622" xr:uid="{00000000-0005-0000-0000-0000EF170000}"/>
    <cellStyle name="Normal 5 2 2 4 2 3 3 2" xfId="14064" xr:uid="{C3EAC82F-3324-48CE-89E1-F76EFD2DB1E4}"/>
    <cellStyle name="Normal 5 2 2 4 2 3 4" xfId="9846" xr:uid="{8E18C91E-EDF7-4590-8367-18EB07B76596}"/>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A37757E3-CD27-4B3D-A573-3A20959B8BA6}"/>
    <cellStyle name="Normal 5 2 2 4 2 4 2 3" xfId="12404" xr:uid="{C2D33906-C363-4C12-A94F-9E949EE4C1F4}"/>
    <cellStyle name="Normal 5 2 2 4 2 4 3" xfId="6035" xr:uid="{00000000-0005-0000-0000-0000F3170000}"/>
    <cellStyle name="Normal 5 2 2 4 2 4 3 2" xfId="14477" xr:uid="{1524090F-C443-4E6B-9FEC-ADC9660FFB3B}"/>
    <cellStyle name="Normal 5 2 2 4 2 4 4" xfId="10259" xr:uid="{88454415-6747-428A-8248-A6580AE9218D}"/>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26638FA2-CD9A-49B8-AEDC-6E10B9C8B167}"/>
    <cellStyle name="Normal 5 2 2 4 2 5 2 3" xfId="12817" xr:uid="{E4D5E00C-AE76-4424-9C75-A3F8E53430E8}"/>
    <cellStyle name="Normal 5 2 2 4 2 5 3" xfId="6448" xr:uid="{00000000-0005-0000-0000-0000F7170000}"/>
    <cellStyle name="Normal 5 2 2 4 2 5 3 2" xfId="14890" xr:uid="{3D7E0710-7FFD-4455-9BF2-466A67D69A08}"/>
    <cellStyle name="Normal 5 2 2 4 2 5 4" xfId="10672" xr:uid="{D9D81FBE-A405-4EFA-9EC5-19AF8A1B54E0}"/>
    <cellStyle name="Normal 5 2 2 4 2 6" xfId="2577" xr:uid="{00000000-0005-0000-0000-0000F8170000}"/>
    <cellStyle name="Normal 5 2 2 4 2 6 2" xfId="6861" xr:uid="{00000000-0005-0000-0000-0000F9170000}"/>
    <cellStyle name="Normal 5 2 2 4 2 6 2 2" xfId="15303" xr:uid="{BEE60D70-6B6C-4DBB-AB4F-D5E786DD2945}"/>
    <cellStyle name="Normal 5 2 2 4 2 6 3" xfId="11085" xr:uid="{B594CEE4-2C73-47D2-A68B-0E69E026F298}"/>
    <cellStyle name="Normal 5 2 2 4 2 7" xfId="4796" xr:uid="{00000000-0005-0000-0000-0000FA170000}"/>
    <cellStyle name="Normal 5 2 2 4 2 7 2" xfId="13238" xr:uid="{3037F6EA-BECE-4FCC-8B46-2E4CE49CD171}"/>
    <cellStyle name="Normal 5 2 2 4 2 8" xfId="9020" xr:uid="{326D29F2-BA3D-49BD-99AD-D5F8B09D70FC}"/>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57B8506C-AB4C-4DEF-B36F-3CDA46187751}"/>
    <cellStyle name="Normal 5 2 2 4 3 2 3" xfId="11577" xr:uid="{AB27BCB0-76B8-46AA-9FD7-7AB4CA3B0D80}"/>
    <cellStyle name="Normal 5 2 2 4 3 3" xfId="5208" xr:uid="{00000000-0005-0000-0000-0000FE170000}"/>
    <cellStyle name="Normal 5 2 2 4 3 3 2" xfId="13650" xr:uid="{E90D1BC9-11F0-4BB3-A2B8-F4835F352661}"/>
    <cellStyle name="Normal 5 2 2 4 3 4" xfId="9432" xr:uid="{D324E7A9-3C02-408F-B435-808D98CA29DB}"/>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DF9B86D3-4D70-415D-B243-AD4824083B17}"/>
    <cellStyle name="Normal 5 2 2 4 4 2 3" xfId="11990" xr:uid="{9CABDE99-DC5F-43B8-8B40-7015F9703EAA}"/>
    <cellStyle name="Normal 5 2 2 4 4 3" xfId="5621" xr:uid="{00000000-0005-0000-0000-000002180000}"/>
    <cellStyle name="Normal 5 2 2 4 4 3 2" xfId="14063" xr:uid="{B8C72839-74C5-4588-A04B-A72398EBD6CC}"/>
    <cellStyle name="Normal 5 2 2 4 4 4" xfId="9845" xr:uid="{49B4A095-3F6A-4336-A30B-F2E54D90890A}"/>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363BD0F4-FED5-4D00-9C28-B5893CD40478}"/>
    <cellStyle name="Normal 5 2 2 4 5 2 3" xfId="12403" xr:uid="{9103CD8C-9B55-4247-A49D-7C23FBFDF997}"/>
    <cellStyle name="Normal 5 2 2 4 5 3" xfId="6034" xr:uid="{00000000-0005-0000-0000-000006180000}"/>
    <cellStyle name="Normal 5 2 2 4 5 3 2" xfId="14476" xr:uid="{24663101-F945-4689-8C08-6B08F850CCB5}"/>
    <cellStyle name="Normal 5 2 2 4 5 4" xfId="10258" xr:uid="{3745E5F9-D6DA-476A-B8E9-C12DE2F4576E}"/>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B7092071-3617-4260-84C0-D88E56780042}"/>
    <cellStyle name="Normal 5 2 2 4 6 2 3" xfId="12816" xr:uid="{4814A067-82B0-4103-9A03-8A5B1EEE190A}"/>
    <cellStyle name="Normal 5 2 2 4 6 3" xfId="6447" xr:uid="{00000000-0005-0000-0000-00000A180000}"/>
    <cellStyle name="Normal 5 2 2 4 6 3 2" xfId="14889" xr:uid="{5F2CED62-DD11-41EA-B98F-1013CF4A5C4C}"/>
    <cellStyle name="Normal 5 2 2 4 6 4" xfId="10671" xr:uid="{688661E9-AA23-4F25-95D5-68C68A201AD0}"/>
    <cellStyle name="Normal 5 2 2 4 7" xfId="2576" xr:uid="{00000000-0005-0000-0000-00000B180000}"/>
    <cellStyle name="Normal 5 2 2 4 7 2" xfId="6860" xr:uid="{00000000-0005-0000-0000-00000C180000}"/>
    <cellStyle name="Normal 5 2 2 4 7 2 2" xfId="15302" xr:uid="{ADBC8137-031E-4474-A86F-B712A6059144}"/>
    <cellStyle name="Normal 5 2 2 4 7 3" xfId="11084" xr:uid="{7E7F953B-6F2F-4CDC-BB91-506CE28582E6}"/>
    <cellStyle name="Normal 5 2 2 4 8" xfId="4795" xr:uid="{00000000-0005-0000-0000-00000D180000}"/>
    <cellStyle name="Normal 5 2 2 4 8 2" xfId="13237" xr:uid="{946AA7E2-7D03-4374-B8E1-6192FF849764}"/>
    <cellStyle name="Normal 5 2 2 4 9" xfId="9019" xr:uid="{3B2E4EC4-4253-45A7-AC03-84F1F0C8C425}"/>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AE2DDD2C-3A9B-48C4-A9E6-22801E63B780}"/>
    <cellStyle name="Normal 5 2 2 5 2 2 3" xfId="11579" xr:uid="{A6403B26-0E34-495B-9617-D91390EA2115}"/>
    <cellStyle name="Normal 5 2 2 5 2 3" xfId="5210" xr:uid="{00000000-0005-0000-0000-000012180000}"/>
    <cellStyle name="Normal 5 2 2 5 2 3 2" xfId="13652" xr:uid="{DD968636-CE49-4D01-B060-056A4AAC9278}"/>
    <cellStyle name="Normal 5 2 2 5 2 4" xfId="9434" xr:uid="{0470E0FC-AC6B-4E85-9570-18AD4EF97458}"/>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A91F5C6D-776E-4568-82E8-9E6B6A059855}"/>
    <cellStyle name="Normal 5 2 2 5 3 2 3" xfId="11992" xr:uid="{FD11DD9C-09A7-45E5-9380-9225314075E6}"/>
    <cellStyle name="Normal 5 2 2 5 3 3" xfId="5623" xr:uid="{00000000-0005-0000-0000-000016180000}"/>
    <cellStyle name="Normal 5 2 2 5 3 3 2" xfId="14065" xr:uid="{764E080F-3F31-432C-9BC7-C5B372AF8136}"/>
    <cellStyle name="Normal 5 2 2 5 3 4" xfId="9847" xr:uid="{67876C3F-EE30-4BB8-8B90-4141E18A4D8C}"/>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7142702F-A775-475A-90BF-0DA82CFCFFB4}"/>
    <cellStyle name="Normal 5 2 2 5 4 2 3" xfId="12405" xr:uid="{D1A5315B-6921-4AC7-9EB6-827A67F8DAC3}"/>
    <cellStyle name="Normal 5 2 2 5 4 3" xfId="6036" xr:uid="{00000000-0005-0000-0000-00001A180000}"/>
    <cellStyle name="Normal 5 2 2 5 4 3 2" xfId="14478" xr:uid="{F0AE2CE0-7A84-4D3B-97BB-C6C7CE696F4C}"/>
    <cellStyle name="Normal 5 2 2 5 4 4" xfId="10260" xr:uid="{29281B51-764C-4724-A38C-86C0D41495EB}"/>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DBDF9964-F59A-4524-A243-C33DC0752861}"/>
    <cellStyle name="Normal 5 2 2 5 5 2 3" xfId="12818" xr:uid="{5708DC7C-BFB6-4FDA-AF61-756C21EB874E}"/>
    <cellStyle name="Normal 5 2 2 5 5 3" xfId="6449" xr:uid="{00000000-0005-0000-0000-00001E180000}"/>
    <cellStyle name="Normal 5 2 2 5 5 3 2" xfId="14891" xr:uid="{277D356B-A8D5-448A-B8AD-E83E3F9B1A93}"/>
    <cellStyle name="Normal 5 2 2 5 5 4" xfId="10673" xr:uid="{16EBD2AB-C237-49D7-913F-F6F9420A3B5A}"/>
    <cellStyle name="Normal 5 2 2 5 6" xfId="2578" xr:uid="{00000000-0005-0000-0000-00001F180000}"/>
    <cellStyle name="Normal 5 2 2 5 6 2" xfId="6862" xr:uid="{00000000-0005-0000-0000-000020180000}"/>
    <cellStyle name="Normal 5 2 2 5 6 2 2" xfId="15304" xr:uid="{543CA6F7-FA1E-4631-9E53-82A8F000CEFA}"/>
    <cellStyle name="Normal 5 2 2 5 6 3" xfId="11086" xr:uid="{3F2BE1EC-41EC-4DC0-BCE5-6BD02F6A24AF}"/>
    <cellStyle name="Normal 5 2 2 5 7" xfId="4797" xr:uid="{00000000-0005-0000-0000-000021180000}"/>
    <cellStyle name="Normal 5 2 2 5 7 2" xfId="13239" xr:uid="{0124920B-6C14-4724-85D8-D6BEF1C3F381}"/>
    <cellStyle name="Normal 5 2 2 5 8" xfId="9021" xr:uid="{97A9304A-278A-4559-9F03-ADAACEA67840}"/>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103A7EEA-9712-43A9-8AD1-76EE287B7582}"/>
    <cellStyle name="Normal 5 2 2 6 2 3" xfId="11564" xr:uid="{E486CD3B-8849-453F-8A76-236826DBCC30}"/>
    <cellStyle name="Normal 5 2 2 6 3" xfId="5195" xr:uid="{00000000-0005-0000-0000-000025180000}"/>
    <cellStyle name="Normal 5 2 2 6 3 2" xfId="13637" xr:uid="{18673665-6354-4E79-9B6A-064CE8E1C94A}"/>
    <cellStyle name="Normal 5 2 2 6 4" xfId="9419" xr:uid="{5A5A6430-EB99-41FC-B64D-E0A12042BFD1}"/>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3918B7E4-1760-425F-9FE2-AC4A56D8420E}"/>
    <cellStyle name="Normal 5 2 2 7 2 3" xfId="11977" xr:uid="{C76E7548-8050-4A96-81AA-226E3DC14843}"/>
    <cellStyle name="Normal 5 2 2 7 3" xfId="5608" xr:uid="{00000000-0005-0000-0000-000029180000}"/>
    <cellStyle name="Normal 5 2 2 7 3 2" xfId="14050" xr:uid="{B2CFEBDE-3AA5-441F-9410-7154D3FB8686}"/>
    <cellStyle name="Normal 5 2 2 7 4" xfId="9832" xr:uid="{90192217-5932-4A44-825F-D7EDCC9267B4}"/>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E4B0BCE8-963A-44C6-9FB8-58894A421F33}"/>
    <cellStyle name="Normal 5 2 2 8 2 3" xfId="12390" xr:uid="{B382EC34-8D43-4BDD-8156-D40EB51FDE1D}"/>
    <cellStyle name="Normal 5 2 2 8 3" xfId="6021" xr:uid="{00000000-0005-0000-0000-00002D180000}"/>
    <cellStyle name="Normal 5 2 2 8 3 2" xfId="14463" xr:uid="{48F556CE-9064-4FF3-BD27-FB98D531CDC7}"/>
    <cellStyle name="Normal 5 2 2 8 4" xfId="10245" xr:uid="{78B99BA8-8985-4029-A8AF-6E500A0E05D9}"/>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D6D17BCA-9120-4317-9028-7F90CEAD56A6}"/>
    <cellStyle name="Normal 5 2 2 9 2 3" xfId="12803" xr:uid="{F4270EF6-D7C7-4C13-86D0-6DDEB423E456}"/>
    <cellStyle name="Normal 5 2 2 9 3" xfId="6434" xr:uid="{00000000-0005-0000-0000-000031180000}"/>
    <cellStyle name="Normal 5 2 2 9 3 2" xfId="14876" xr:uid="{478C879A-B209-4775-9897-D965D4FA12B5}"/>
    <cellStyle name="Normal 5 2 2 9 4" xfId="10658" xr:uid="{4696F21E-41F0-46A7-864D-E592E1EB17FA}"/>
    <cellStyle name="Normal 5 2 3" xfId="424" xr:uid="{00000000-0005-0000-0000-000032180000}"/>
    <cellStyle name="Normal 5 2 3 10" xfId="4798" xr:uid="{00000000-0005-0000-0000-000033180000}"/>
    <cellStyle name="Normal 5 2 3 10 2" xfId="13240" xr:uid="{978C2DDE-4E17-48F1-A423-692C2376892D}"/>
    <cellStyle name="Normal 5 2 3 11" xfId="9022" xr:uid="{B1CCABB7-1AB2-4C32-9A7C-957C38F9EB98}"/>
    <cellStyle name="Normal 5 2 3 2" xfId="425" xr:uid="{00000000-0005-0000-0000-000034180000}"/>
    <cellStyle name="Normal 5 2 3 2 10" xfId="9023" xr:uid="{B84A8F0E-ADA5-4A44-88B3-C7EB7F140B1F}"/>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F8229B40-4653-4CD7-9540-342D351BBB0D}"/>
    <cellStyle name="Normal 5 2 3 2 2 2 2 2 3" xfId="11583" xr:uid="{746DE28D-6DB0-4C40-AE01-456825B90B13}"/>
    <cellStyle name="Normal 5 2 3 2 2 2 2 3" xfId="5214" xr:uid="{00000000-0005-0000-0000-00003A180000}"/>
    <cellStyle name="Normal 5 2 3 2 2 2 2 3 2" xfId="13656" xr:uid="{CA8DDDE2-AB77-4C02-BABF-3A5A4E1BB513}"/>
    <cellStyle name="Normal 5 2 3 2 2 2 2 4" xfId="9438" xr:uid="{95A3B51F-4A66-4E0C-95F0-AE28DA87808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AAC709AB-17D6-43DC-AD34-D70883625318}"/>
    <cellStyle name="Normal 5 2 3 2 2 2 3 2 3" xfId="11996" xr:uid="{6155B08A-D0B5-47A9-B941-277D34679C27}"/>
    <cellStyle name="Normal 5 2 3 2 2 2 3 3" xfId="5627" xr:uid="{00000000-0005-0000-0000-00003E180000}"/>
    <cellStyle name="Normal 5 2 3 2 2 2 3 3 2" xfId="14069" xr:uid="{5CCBF760-9895-414B-875A-777F930C4E79}"/>
    <cellStyle name="Normal 5 2 3 2 2 2 3 4" xfId="9851" xr:uid="{0DFFB9B4-5778-4F07-AE02-2BF19B389FB6}"/>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61C7D326-3B4E-4F0F-83FE-6B687738DFFD}"/>
    <cellStyle name="Normal 5 2 3 2 2 2 4 2 3" xfId="12409" xr:uid="{A1EE82B4-A48C-46C6-AF2E-5E113489B936}"/>
    <cellStyle name="Normal 5 2 3 2 2 2 4 3" xfId="6040" xr:uid="{00000000-0005-0000-0000-000042180000}"/>
    <cellStyle name="Normal 5 2 3 2 2 2 4 3 2" xfId="14482" xr:uid="{5B6CBCBB-5BA5-4735-ADAF-75676169CB85}"/>
    <cellStyle name="Normal 5 2 3 2 2 2 4 4" xfId="10264" xr:uid="{B1772F7E-33FB-4EA5-B902-F7807D0564DB}"/>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508734BC-C5FE-423F-8D1F-7477CC641C8A}"/>
    <cellStyle name="Normal 5 2 3 2 2 2 5 2 3" xfId="12822" xr:uid="{BF607D6E-BB3B-4B9C-A3AC-8579E3064EDE}"/>
    <cellStyle name="Normal 5 2 3 2 2 2 5 3" xfId="6453" xr:uid="{00000000-0005-0000-0000-000046180000}"/>
    <cellStyle name="Normal 5 2 3 2 2 2 5 3 2" xfId="14895" xr:uid="{CDCE26F3-AB92-43FA-853D-47A1E2387118}"/>
    <cellStyle name="Normal 5 2 3 2 2 2 5 4" xfId="10677" xr:uid="{E57797CD-6E61-426C-92C4-CD2C3272A04E}"/>
    <cellStyle name="Normal 5 2 3 2 2 2 6" xfId="2582" xr:uid="{00000000-0005-0000-0000-000047180000}"/>
    <cellStyle name="Normal 5 2 3 2 2 2 6 2" xfId="6866" xr:uid="{00000000-0005-0000-0000-000048180000}"/>
    <cellStyle name="Normal 5 2 3 2 2 2 6 2 2" xfId="15308" xr:uid="{54B182E7-C061-4C77-A155-11F651F79E0F}"/>
    <cellStyle name="Normal 5 2 3 2 2 2 6 3" xfId="11090" xr:uid="{3E603524-40CC-4D65-95DB-B7E79952F7F0}"/>
    <cellStyle name="Normal 5 2 3 2 2 2 7" xfId="4801" xr:uid="{00000000-0005-0000-0000-000049180000}"/>
    <cellStyle name="Normal 5 2 3 2 2 2 7 2" xfId="13243" xr:uid="{99346AD0-F003-464F-8FF0-EB179F55053E}"/>
    <cellStyle name="Normal 5 2 3 2 2 2 8" xfId="9025" xr:uid="{D5B4FEA2-A00A-41B7-9707-EAE19D66BA5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1DE962B2-5345-4928-9FF2-240603C9E07B}"/>
    <cellStyle name="Normal 5 2 3 2 2 3 2 3" xfId="11582" xr:uid="{A451C252-F1C6-41FE-9C17-80CC24294304}"/>
    <cellStyle name="Normal 5 2 3 2 2 3 3" xfId="5213" xr:uid="{00000000-0005-0000-0000-00004D180000}"/>
    <cellStyle name="Normal 5 2 3 2 2 3 3 2" xfId="13655" xr:uid="{F64F45B5-D83A-4327-A175-EEEA671900CB}"/>
    <cellStyle name="Normal 5 2 3 2 2 3 4" xfId="9437" xr:uid="{276BA440-4BEE-49AF-93B5-FFF282D6A786}"/>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4CF2A8D0-BDC0-4AB4-AEB6-A6B0FD292ED4}"/>
    <cellStyle name="Normal 5 2 3 2 2 4 2 3" xfId="11995" xr:uid="{D402EBB6-EDA2-4FD4-ABAC-644DA96DB9BB}"/>
    <cellStyle name="Normal 5 2 3 2 2 4 3" xfId="5626" xr:uid="{00000000-0005-0000-0000-000051180000}"/>
    <cellStyle name="Normal 5 2 3 2 2 4 3 2" xfId="14068" xr:uid="{AF45CE5B-14D5-4A31-A9C7-EF8BAC72A2F7}"/>
    <cellStyle name="Normal 5 2 3 2 2 4 4" xfId="9850" xr:uid="{4825E63E-19A6-4479-92CC-65866CCC0AD1}"/>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86488A1D-E499-47E1-AECB-A68EB1E60448}"/>
    <cellStyle name="Normal 5 2 3 2 2 5 2 3" xfId="12408" xr:uid="{026EAD18-D5E4-4EF8-8A51-33DEDE03A45E}"/>
    <cellStyle name="Normal 5 2 3 2 2 5 3" xfId="6039" xr:uid="{00000000-0005-0000-0000-000055180000}"/>
    <cellStyle name="Normal 5 2 3 2 2 5 3 2" xfId="14481" xr:uid="{C9D1A8A0-336E-43E8-B0B3-29A0A6FBAC64}"/>
    <cellStyle name="Normal 5 2 3 2 2 5 4" xfId="10263" xr:uid="{6B3F7719-E043-4F78-8406-7DCCA61E83DF}"/>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A4C2EBA1-4071-4AF3-AC9A-1AD82ED8E9E7}"/>
    <cellStyle name="Normal 5 2 3 2 2 6 2 3" xfId="12821" xr:uid="{0C39C40D-3195-4FD7-99A5-D1C73F47E6C7}"/>
    <cellStyle name="Normal 5 2 3 2 2 6 3" xfId="6452" xr:uid="{00000000-0005-0000-0000-000059180000}"/>
    <cellStyle name="Normal 5 2 3 2 2 6 3 2" xfId="14894" xr:uid="{E8926924-DBCA-473B-874E-B9581A2B1E74}"/>
    <cellStyle name="Normal 5 2 3 2 2 6 4" xfId="10676" xr:uid="{F210499D-3166-4079-8FE6-52C50882CFED}"/>
    <cellStyle name="Normal 5 2 3 2 2 7" xfId="2581" xr:uid="{00000000-0005-0000-0000-00005A180000}"/>
    <cellStyle name="Normal 5 2 3 2 2 7 2" xfId="6865" xr:uid="{00000000-0005-0000-0000-00005B180000}"/>
    <cellStyle name="Normal 5 2 3 2 2 7 2 2" xfId="15307" xr:uid="{A7B3D4B5-43A3-4A3D-B5D9-F4FA51881122}"/>
    <cellStyle name="Normal 5 2 3 2 2 7 3" xfId="11089" xr:uid="{87CA393B-1553-4FF8-9F8E-4D30F0BF11B2}"/>
    <cellStyle name="Normal 5 2 3 2 2 8" xfId="4800" xr:uid="{00000000-0005-0000-0000-00005C180000}"/>
    <cellStyle name="Normal 5 2 3 2 2 8 2" xfId="13242" xr:uid="{50552733-D656-4DDE-9C5A-DDBC3AF2FA84}"/>
    <cellStyle name="Normal 5 2 3 2 2 9" xfId="9024" xr:uid="{EA24DECC-F6E9-45D2-8CB0-3079BDD087BB}"/>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1B8E3769-1388-4BD3-A3A7-5CF19AB4972C}"/>
    <cellStyle name="Normal 5 2 3 2 3 2 2 3" xfId="11584" xr:uid="{8BB97CD9-C0A6-424D-B527-93B0231901FA}"/>
    <cellStyle name="Normal 5 2 3 2 3 2 3" xfId="5215" xr:uid="{00000000-0005-0000-0000-000061180000}"/>
    <cellStyle name="Normal 5 2 3 2 3 2 3 2" xfId="13657" xr:uid="{F9051735-FA98-4CC9-8F0D-C0B8F2B14854}"/>
    <cellStyle name="Normal 5 2 3 2 3 2 4" xfId="9439" xr:uid="{DBB13C1F-4B70-4E36-B1A8-5BBECBFE2A1A}"/>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FE21C5A2-6169-46A0-B661-6F3023C4987B}"/>
    <cellStyle name="Normal 5 2 3 2 3 3 2 3" xfId="11997" xr:uid="{4053D4AD-10F1-4ABE-B3A4-B7067ACF1D5C}"/>
    <cellStyle name="Normal 5 2 3 2 3 3 3" xfId="5628" xr:uid="{00000000-0005-0000-0000-000065180000}"/>
    <cellStyle name="Normal 5 2 3 2 3 3 3 2" xfId="14070" xr:uid="{E06B39B1-22A5-483F-9D8E-6F7FBFCD3849}"/>
    <cellStyle name="Normal 5 2 3 2 3 3 4" xfId="9852" xr:uid="{CEFCC498-FA93-45FD-9775-E725523E023F}"/>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2EC766A4-3A2E-41C1-A57A-22F2850C3558}"/>
    <cellStyle name="Normal 5 2 3 2 3 4 2 3" xfId="12410" xr:uid="{CC034047-B606-4621-B1C1-BAE4308E9129}"/>
    <cellStyle name="Normal 5 2 3 2 3 4 3" xfId="6041" xr:uid="{00000000-0005-0000-0000-000069180000}"/>
    <cellStyle name="Normal 5 2 3 2 3 4 3 2" xfId="14483" xr:uid="{65501B12-F4C1-4A71-8DF4-F33AAD76EEA2}"/>
    <cellStyle name="Normal 5 2 3 2 3 4 4" xfId="10265" xr:uid="{2284E5B9-E8AA-4D91-9262-4AF5DFD64C57}"/>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C1AC5BAF-952A-4ECC-B368-0EF1BDE7FEB5}"/>
    <cellStyle name="Normal 5 2 3 2 3 5 2 3" xfId="12823" xr:uid="{78F6BAED-2B34-4134-8AD9-20E34FBE18C6}"/>
    <cellStyle name="Normal 5 2 3 2 3 5 3" xfId="6454" xr:uid="{00000000-0005-0000-0000-00006D180000}"/>
    <cellStyle name="Normal 5 2 3 2 3 5 3 2" xfId="14896" xr:uid="{EF8D709A-6FAA-4346-A5B7-48D22C85A411}"/>
    <cellStyle name="Normal 5 2 3 2 3 5 4" xfId="10678" xr:uid="{683FCEC7-0810-425C-B891-894294CCAABF}"/>
    <cellStyle name="Normal 5 2 3 2 3 6" xfId="2583" xr:uid="{00000000-0005-0000-0000-00006E180000}"/>
    <cellStyle name="Normal 5 2 3 2 3 6 2" xfId="6867" xr:uid="{00000000-0005-0000-0000-00006F180000}"/>
    <cellStyle name="Normal 5 2 3 2 3 6 2 2" xfId="15309" xr:uid="{02C9507F-CAA9-4B9B-9BA4-1586E342D0F9}"/>
    <cellStyle name="Normal 5 2 3 2 3 6 3" xfId="11091" xr:uid="{9CAA5416-D9F4-41BE-84EC-C4097BC4D890}"/>
    <cellStyle name="Normal 5 2 3 2 3 7" xfId="4802" xr:uid="{00000000-0005-0000-0000-000070180000}"/>
    <cellStyle name="Normal 5 2 3 2 3 7 2" xfId="13244" xr:uid="{930CDC4E-835E-4879-8E09-05507BF6840E}"/>
    <cellStyle name="Normal 5 2 3 2 3 8" xfId="9026" xr:uid="{89520F47-65F3-4059-8882-78FB1C2C9F7F}"/>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46D1ACC6-EE35-4D25-9F88-7E6359D20633}"/>
    <cellStyle name="Normal 5 2 3 2 4 2 3" xfId="11581" xr:uid="{C4B81355-FF82-4BB0-B4AC-B5ACDDC77D03}"/>
    <cellStyle name="Normal 5 2 3 2 4 3" xfId="5212" xr:uid="{00000000-0005-0000-0000-000074180000}"/>
    <cellStyle name="Normal 5 2 3 2 4 3 2" xfId="13654" xr:uid="{3D69EC84-4EAA-44AD-AEFD-238E59FE2341}"/>
    <cellStyle name="Normal 5 2 3 2 4 4" xfId="9436" xr:uid="{6B660345-0B12-4E0A-ABB1-F8EC76F9A326}"/>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DB53B5DA-D4B2-4471-A73F-53F332524AE5}"/>
    <cellStyle name="Normal 5 2 3 2 5 2 3" xfId="11994" xr:uid="{A4DD386F-81B5-4D75-93FB-3256D2E59832}"/>
    <cellStyle name="Normal 5 2 3 2 5 3" xfId="5625" xr:uid="{00000000-0005-0000-0000-000078180000}"/>
    <cellStyle name="Normal 5 2 3 2 5 3 2" xfId="14067" xr:uid="{10044A16-030A-4333-9800-DB3D4B91BB16}"/>
    <cellStyle name="Normal 5 2 3 2 5 4" xfId="9849" xr:uid="{CC1D7C7D-606F-4B87-AE21-9AC06DD62274}"/>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C1701FBC-FA88-4C1C-ACA9-0AC71F25178E}"/>
    <cellStyle name="Normal 5 2 3 2 6 2 3" xfId="12407" xr:uid="{A8F88DAF-A317-47D1-A47F-64DB8B06476E}"/>
    <cellStyle name="Normal 5 2 3 2 6 3" xfId="6038" xr:uid="{00000000-0005-0000-0000-00007C180000}"/>
    <cellStyle name="Normal 5 2 3 2 6 3 2" xfId="14480" xr:uid="{59F20366-581B-4EA3-AE7D-F68C2DAC847D}"/>
    <cellStyle name="Normal 5 2 3 2 6 4" xfId="10262" xr:uid="{77B3F6C1-E9DA-4E07-B4DA-24A5229E014C}"/>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6150DF55-6ACA-4673-A04D-22124482C1C1}"/>
    <cellStyle name="Normal 5 2 3 2 7 2 3" xfId="12820" xr:uid="{49FCAB2F-3A52-4F82-946B-F9271B975E09}"/>
    <cellStyle name="Normal 5 2 3 2 7 3" xfId="6451" xr:uid="{00000000-0005-0000-0000-000080180000}"/>
    <cellStyle name="Normal 5 2 3 2 7 3 2" xfId="14893" xr:uid="{B523242C-EC83-448D-8BBF-218D423A8CAD}"/>
    <cellStyle name="Normal 5 2 3 2 7 4" xfId="10675" xr:uid="{AC9E886A-0D59-41DC-BDC8-506144A5349D}"/>
    <cellStyle name="Normal 5 2 3 2 8" xfId="2580" xr:uid="{00000000-0005-0000-0000-000081180000}"/>
    <cellStyle name="Normal 5 2 3 2 8 2" xfId="6864" xr:uid="{00000000-0005-0000-0000-000082180000}"/>
    <cellStyle name="Normal 5 2 3 2 8 2 2" xfId="15306" xr:uid="{DFD7654D-28DA-40B5-9B22-1BFBE56FBE80}"/>
    <cellStyle name="Normal 5 2 3 2 8 3" xfId="11088" xr:uid="{4229D37E-21E5-476C-A43E-2EBD31FA93EB}"/>
    <cellStyle name="Normal 5 2 3 2 9" xfId="4799" xr:uid="{00000000-0005-0000-0000-000083180000}"/>
    <cellStyle name="Normal 5 2 3 2 9 2" xfId="13241" xr:uid="{D9473F5C-0EB8-46F9-8AF5-537E4B4CD05B}"/>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2A1923F5-696E-4DC0-BCFF-5CBBF0F8000C}"/>
    <cellStyle name="Normal 5 2 3 3 2 2 2 3" xfId="11586" xr:uid="{64B89B51-86E6-45E1-9B0F-7437F88A027B}"/>
    <cellStyle name="Normal 5 2 3 3 2 2 3" xfId="5217" xr:uid="{00000000-0005-0000-0000-000089180000}"/>
    <cellStyle name="Normal 5 2 3 3 2 2 3 2" xfId="13659" xr:uid="{B5705490-7D07-4527-8BE8-074A05D073A0}"/>
    <cellStyle name="Normal 5 2 3 3 2 2 4" xfId="9441" xr:uid="{D0EF48A7-4F8B-4470-A12F-C0DFCD825D4B}"/>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556A648F-1D2E-4C4B-828E-5F1EC3E3291D}"/>
    <cellStyle name="Normal 5 2 3 3 2 3 2 3" xfId="11999" xr:uid="{1AF9D32A-8434-4EFB-A5EF-AB0B9C066CC8}"/>
    <cellStyle name="Normal 5 2 3 3 2 3 3" xfId="5630" xr:uid="{00000000-0005-0000-0000-00008D180000}"/>
    <cellStyle name="Normal 5 2 3 3 2 3 3 2" xfId="14072" xr:uid="{69B91468-20C4-4112-96CE-96857A93995D}"/>
    <cellStyle name="Normal 5 2 3 3 2 3 4" xfId="9854" xr:uid="{D88F8BD3-EF4D-4EC3-8D50-F886D0136C39}"/>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CA257A53-7AB7-4FF9-AE39-FAD549A8E76B}"/>
    <cellStyle name="Normal 5 2 3 3 2 4 2 3" xfId="12412" xr:uid="{DFE5A3A8-C10D-419A-836B-98B3323E3721}"/>
    <cellStyle name="Normal 5 2 3 3 2 4 3" xfId="6043" xr:uid="{00000000-0005-0000-0000-000091180000}"/>
    <cellStyle name="Normal 5 2 3 3 2 4 3 2" xfId="14485" xr:uid="{3DCCE8AA-191C-4BC2-BA65-4C99FBADD8BE}"/>
    <cellStyle name="Normal 5 2 3 3 2 4 4" xfId="10267" xr:uid="{B9664F95-E53C-4868-9082-2637F411A1F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CE44BA08-B8B7-4D3F-95D6-39D49D95877A}"/>
    <cellStyle name="Normal 5 2 3 3 2 5 2 3" xfId="12825" xr:uid="{58C54BD0-B6CD-45D0-916A-0B83D908A80C}"/>
    <cellStyle name="Normal 5 2 3 3 2 5 3" xfId="6456" xr:uid="{00000000-0005-0000-0000-000095180000}"/>
    <cellStyle name="Normal 5 2 3 3 2 5 3 2" xfId="14898" xr:uid="{194AAB32-5CFD-4DBB-A30E-C589B3150C2A}"/>
    <cellStyle name="Normal 5 2 3 3 2 5 4" xfId="10680" xr:uid="{454327D7-0824-400E-86A1-E95FE9CDEC7C}"/>
    <cellStyle name="Normal 5 2 3 3 2 6" xfId="2585" xr:uid="{00000000-0005-0000-0000-000096180000}"/>
    <cellStyle name="Normal 5 2 3 3 2 6 2" xfId="6869" xr:uid="{00000000-0005-0000-0000-000097180000}"/>
    <cellStyle name="Normal 5 2 3 3 2 6 2 2" xfId="15311" xr:uid="{027BA0D6-FD1F-48C0-BBE8-2746A9F6670C}"/>
    <cellStyle name="Normal 5 2 3 3 2 6 3" xfId="11093" xr:uid="{42C9AB73-E85C-4045-B367-6237C0E0D718}"/>
    <cellStyle name="Normal 5 2 3 3 2 7" xfId="4804" xr:uid="{00000000-0005-0000-0000-000098180000}"/>
    <cellStyle name="Normal 5 2 3 3 2 7 2" xfId="13246" xr:uid="{A5363F8C-33B3-4688-B0A6-1E4FF9DF178C}"/>
    <cellStyle name="Normal 5 2 3 3 2 8" xfId="9028" xr:uid="{2B4902A1-1271-440F-81D4-22E604454317}"/>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DA29F8C8-8FE1-451D-8158-3E20409CF354}"/>
    <cellStyle name="Normal 5 2 3 3 3 2 3" xfId="11585" xr:uid="{E8EA76C6-CBFE-4277-899B-28FE2A70946B}"/>
    <cellStyle name="Normal 5 2 3 3 3 3" xfId="5216" xr:uid="{00000000-0005-0000-0000-00009C180000}"/>
    <cellStyle name="Normal 5 2 3 3 3 3 2" xfId="13658" xr:uid="{D8C8E386-FD67-420A-A271-8ECCAF76481A}"/>
    <cellStyle name="Normal 5 2 3 3 3 4" xfId="9440" xr:uid="{B12CA4E7-1CF2-4159-9B3F-0423C594CD65}"/>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A62AFE6C-403A-4F6F-9DFE-9D59458EBC5F}"/>
    <cellStyle name="Normal 5 2 3 3 4 2 3" xfId="11998" xr:uid="{65AB9936-CBE3-4D5B-960C-7E99F9EAE50A}"/>
    <cellStyle name="Normal 5 2 3 3 4 3" xfId="5629" xr:uid="{00000000-0005-0000-0000-0000A0180000}"/>
    <cellStyle name="Normal 5 2 3 3 4 3 2" xfId="14071" xr:uid="{23D2FFEC-F770-4BA1-B5B2-300B4561B353}"/>
    <cellStyle name="Normal 5 2 3 3 4 4" xfId="9853" xr:uid="{DFD4C0D2-71BC-4BDF-8A25-162F309DF0AA}"/>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9037F865-3009-45E4-8B4D-4EEAF3E5C83D}"/>
    <cellStyle name="Normal 5 2 3 3 5 2 3" xfId="12411" xr:uid="{5BF2947A-61ED-4E6A-AB35-3F5E9129CA21}"/>
    <cellStyle name="Normal 5 2 3 3 5 3" xfId="6042" xr:uid="{00000000-0005-0000-0000-0000A4180000}"/>
    <cellStyle name="Normal 5 2 3 3 5 3 2" xfId="14484" xr:uid="{E60AF9CF-2F15-4B14-A8FF-558732D16520}"/>
    <cellStyle name="Normal 5 2 3 3 5 4" xfId="10266" xr:uid="{AD1CB262-6639-46C6-A0B9-20B09E7DA090}"/>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F37E196A-43C0-4105-AEDE-E4F41CC28797}"/>
    <cellStyle name="Normal 5 2 3 3 6 2 3" xfId="12824" xr:uid="{19E77634-5941-4D61-98A4-E620883C6D68}"/>
    <cellStyle name="Normal 5 2 3 3 6 3" xfId="6455" xr:uid="{00000000-0005-0000-0000-0000A8180000}"/>
    <cellStyle name="Normal 5 2 3 3 6 3 2" xfId="14897" xr:uid="{C96257D7-D24A-41EE-9D4B-5D78DD25083A}"/>
    <cellStyle name="Normal 5 2 3 3 6 4" xfId="10679" xr:uid="{0BEBF5D7-8523-4AEA-AB75-3F995B3F0C81}"/>
    <cellStyle name="Normal 5 2 3 3 7" xfId="2584" xr:uid="{00000000-0005-0000-0000-0000A9180000}"/>
    <cellStyle name="Normal 5 2 3 3 7 2" xfId="6868" xr:uid="{00000000-0005-0000-0000-0000AA180000}"/>
    <cellStyle name="Normal 5 2 3 3 7 2 2" xfId="15310" xr:uid="{061666BD-CBDE-44A9-9F02-78297B84C4B3}"/>
    <cellStyle name="Normal 5 2 3 3 7 3" xfId="11092" xr:uid="{81213799-6E8F-4C08-90CA-937CBA8AF2EF}"/>
    <cellStyle name="Normal 5 2 3 3 8" xfId="4803" xr:uid="{00000000-0005-0000-0000-0000AB180000}"/>
    <cellStyle name="Normal 5 2 3 3 8 2" xfId="13245" xr:uid="{2B6535B1-755F-468E-8FD9-09D9B1FF823A}"/>
    <cellStyle name="Normal 5 2 3 3 9" xfId="9027" xr:uid="{A265E498-AEE4-485C-9DCB-217905278859}"/>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3570B47C-55E5-4845-981C-ADDA2BDDBDEB}"/>
    <cellStyle name="Normal 5 2 3 4 2 2 3" xfId="11587" xr:uid="{C3D536F3-9DAE-4FAB-B0B8-71F26C7ED59B}"/>
    <cellStyle name="Normal 5 2 3 4 2 3" xfId="5218" xr:uid="{00000000-0005-0000-0000-0000B0180000}"/>
    <cellStyle name="Normal 5 2 3 4 2 3 2" xfId="13660" xr:uid="{37897816-15AC-4B21-B2AB-CDE70D04264A}"/>
    <cellStyle name="Normal 5 2 3 4 2 4" xfId="9442" xr:uid="{AC2B6C49-3EC6-471C-A8D0-3912B31628A7}"/>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799BC15D-C1FC-4358-832A-078E112B0C8B}"/>
    <cellStyle name="Normal 5 2 3 4 3 2 3" xfId="12000" xr:uid="{D543CD13-88F4-4370-926B-D28970345B2A}"/>
    <cellStyle name="Normal 5 2 3 4 3 3" xfId="5631" xr:uid="{00000000-0005-0000-0000-0000B4180000}"/>
    <cellStyle name="Normal 5 2 3 4 3 3 2" xfId="14073" xr:uid="{0A46C52E-85F2-435F-A282-2809C5294D75}"/>
    <cellStyle name="Normal 5 2 3 4 3 4" xfId="9855" xr:uid="{AD087FC1-D950-436F-90FB-0FDEF6C235FC}"/>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C40F1535-1EE2-43FE-A412-5EB22CC47951}"/>
    <cellStyle name="Normal 5 2 3 4 4 2 3" xfId="12413" xr:uid="{86A4256A-46A4-49EB-B786-F98D9DCB652A}"/>
    <cellStyle name="Normal 5 2 3 4 4 3" xfId="6044" xr:uid="{00000000-0005-0000-0000-0000B8180000}"/>
    <cellStyle name="Normal 5 2 3 4 4 3 2" xfId="14486" xr:uid="{A15F7863-3403-48B4-9F47-FD34B7D5C24D}"/>
    <cellStyle name="Normal 5 2 3 4 4 4" xfId="10268" xr:uid="{DB93E16D-B079-4389-8108-631CF3850C37}"/>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1939C44C-139B-4A9F-8E55-F8A54F7D7516}"/>
    <cellStyle name="Normal 5 2 3 4 5 2 3" xfId="12826" xr:uid="{B7A992A2-DF04-498E-A7A9-C20068C4DCE8}"/>
    <cellStyle name="Normal 5 2 3 4 5 3" xfId="6457" xr:uid="{00000000-0005-0000-0000-0000BC180000}"/>
    <cellStyle name="Normal 5 2 3 4 5 3 2" xfId="14899" xr:uid="{3FD0E957-79E5-479B-8E78-CABA3066863F}"/>
    <cellStyle name="Normal 5 2 3 4 5 4" xfId="10681" xr:uid="{7390A3E1-459D-467A-BC0E-C7C2CB55734A}"/>
    <cellStyle name="Normal 5 2 3 4 6" xfId="2586" xr:uid="{00000000-0005-0000-0000-0000BD180000}"/>
    <cellStyle name="Normal 5 2 3 4 6 2" xfId="6870" xr:uid="{00000000-0005-0000-0000-0000BE180000}"/>
    <cellStyle name="Normal 5 2 3 4 6 2 2" xfId="15312" xr:uid="{F70815F6-7327-44BE-9993-B6942383BFEE}"/>
    <cellStyle name="Normal 5 2 3 4 6 3" xfId="11094" xr:uid="{68C6360B-7D71-4EFF-BB07-FB13558026AB}"/>
    <cellStyle name="Normal 5 2 3 4 7" xfId="4805" xr:uid="{00000000-0005-0000-0000-0000BF180000}"/>
    <cellStyle name="Normal 5 2 3 4 7 2" xfId="13247" xr:uid="{D825AB11-3863-4900-909B-FCA801F3AD13}"/>
    <cellStyle name="Normal 5 2 3 4 8" xfId="9029" xr:uid="{4CC10F24-FA8A-4F91-82D7-CD80B4373F8D}"/>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510C9D34-9CF7-4E74-8A9F-E4BBB308CF71}"/>
    <cellStyle name="Normal 5 2 3 5 2 3" xfId="11580" xr:uid="{F7B943BA-0DCD-4658-A04F-C2F075D7EABC}"/>
    <cellStyle name="Normal 5 2 3 5 3" xfId="5211" xr:uid="{00000000-0005-0000-0000-0000C3180000}"/>
    <cellStyle name="Normal 5 2 3 5 3 2" xfId="13653" xr:uid="{01952D5B-E4A5-49D4-8D39-54448C206028}"/>
    <cellStyle name="Normal 5 2 3 5 4" xfId="9435" xr:uid="{4AE17C58-62E5-47FE-8A09-4B73EB2280F2}"/>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31217468-E642-4463-AE43-8E0B023C5D13}"/>
    <cellStyle name="Normal 5 2 3 6 2 3" xfId="11993" xr:uid="{FFF27469-B064-48C4-8A31-B6F4986A5C38}"/>
    <cellStyle name="Normal 5 2 3 6 3" xfId="5624" xr:uid="{00000000-0005-0000-0000-0000C7180000}"/>
    <cellStyle name="Normal 5 2 3 6 3 2" xfId="14066" xr:uid="{6110F553-D8BF-4979-A779-3003657ED81B}"/>
    <cellStyle name="Normal 5 2 3 6 4" xfId="9848" xr:uid="{9949D681-4F1D-4C9B-B097-3D0B1372BDD9}"/>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134F0909-6B92-4B0B-BD6D-CD10ABBA357A}"/>
    <cellStyle name="Normal 5 2 3 7 2 3" xfId="12406" xr:uid="{AE71FDEF-9474-4A01-BA24-9041D170539D}"/>
    <cellStyle name="Normal 5 2 3 7 3" xfId="6037" xr:uid="{00000000-0005-0000-0000-0000CB180000}"/>
    <cellStyle name="Normal 5 2 3 7 3 2" xfId="14479" xr:uid="{D0B2A294-7810-4DF6-9332-E8C9AFC1BAB4}"/>
    <cellStyle name="Normal 5 2 3 7 4" xfId="10261" xr:uid="{CBE1548E-8128-4309-B9AF-73F3A455004C}"/>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C4D6DABD-6C8D-4E30-A2BD-D0CC0D379943}"/>
    <cellStyle name="Normal 5 2 3 8 2 3" xfId="12819" xr:uid="{CE54F249-AFB0-4FC4-AA4A-F5C770CEE3A3}"/>
    <cellStyle name="Normal 5 2 3 8 3" xfId="6450" xr:uid="{00000000-0005-0000-0000-0000CF180000}"/>
    <cellStyle name="Normal 5 2 3 8 3 2" xfId="14892" xr:uid="{F2C6FE43-0FBA-49A2-A856-BDB9F0031ADE}"/>
    <cellStyle name="Normal 5 2 3 8 4" xfId="10674" xr:uid="{4CDEF785-D2E6-4940-BBD7-7B6EC501D806}"/>
    <cellStyle name="Normal 5 2 3 9" xfId="2579" xr:uid="{00000000-0005-0000-0000-0000D0180000}"/>
    <cellStyle name="Normal 5 2 3 9 2" xfId="6863" xr:uid="{00000000-0005-0000-0000-0000D1180000}"/>
    <cellStyle name="Normal 5 2 3 9 2 2" xfId="15305" xr:uid="{503CAF6B-B2FB-4B90-85B9-C4B606462911}"/>
    <cellStyle name="Normal 5 2 3 9 3" xfId="11087" xr:uid="{76AB9A2A-5AEE-40D5-8B38-C30D61E9911A}"/>
    <cellStyle name="Normal 5 2 4" xfId="432" xr:uid="{00000000-0005-0000-0000-0000D2180000}"/>
    <cellStyle name="Normal 5 2 4 10" xfId="9030" xr:uid="{53DEB7C2-E5C5-4319-A6A2-0CE37BBE0A09}"/>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2B122FCD-4BD5-4350-90D7-FF83F006383C}"/>
    <cellStyle name="Normal 5 2 4 2 2 2 2 3" xfId="11590" xr:uid="{C06F694D-889E-4C54-8C49-A05D2C2798B2}"/>
    <cellStyle name="Normal 5 2 4 2 2 2 3" xfId="5221" xr:uid="{00000000-0005-0000-0000-0000D8180000}"/>
    <cellStyle name="Normal 5 2 4 2 2 2 3 2" xfId="13663" xr:uid="{A180AE8F-9685-43E3-A100-B1E2900AFE2F}"/>
    <cellStyle name="Normal 5 2 4 2 2 2 4" xfId="9445" xr:uid="{03281EAA-9C4B-4366-A68C-946BD58BAAE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C477E7A3-BC20-4D51-BCB8-6166B2A5E654}"/>
    <cellStyle name="Normal 5 2 4 2 2 3 2 3" xfId="12003" xr:uid="{5D00367B-DF36-4DC0-93E1-21CCEEBEE3D5}"/>
    <cellStyle name="Normal 5 2 4 2 2 3 3" xfId="5634" xr:uid="{00000000-0005-0000-0000-0000DC180000}"/>
    <cellStyle name="Normal 5 2 4 2 2 3 3 2" xfId="14076" xr:uid="{86593822-0681-477D-93AA-E5197E8AC071}"/>
    <cellStyle name="Normal 5 2 4 2 2 3 4" xfId="9858" xr:uid="{FD3260EE-DB58-4F78-BA05-6397F81823A4}"/>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F6F0ED02-E6B6-47CC-A7CF-50D6E8840C59}"/>
    <cellStyle name="Normal 5 2 4 2 2 4 2 3" xfId="12416" xr:uid="{DB5A97AA-5AD3-4CF5-AD6A-689918B97AEB}"/>
    <cellStyle name="Normal 5 2 4 2 2 4 3" xfId="6047" xr:uid="{00000000-0005-0000-0000-0000E0180000}"/>
    <cellStyle name="Normal 5 2 4 2 2 4 3 2" xfId="14489" xr:uid="{9E3237D4-8A0D-4F7F-9922-2C8F1EF17029}"/>
    <cellStyle name="Normal 5 2 4 2 2 4 4" xfId="10271" xr:uid="{322D1049-51AD-40EF-AB5A-C16E22CA971F}"/>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8FB49EBB-C7D6-45F3-B9ED-D08BDEA6E649}"/>
    <cellStyle name="Normal 5 2 4 2 2 5 2 3" xfId="12829" xr:uid="{1118D6BC-05F4-47E2-88CF-491E92F9E48C}"/>
    <cellStyle name="Normal 5 2 4 2 2 5 3" xfId="6460" xr:uid="{00000000-0005-0000-0000-0000E4180000}"/>
    <cellStyle name="Normal 5 2 4 2 2 5 3 2" xfId="14902" xr:uid="{68E45B58-3AAB-4E34-AB69-623BD5DEB94A}"/>
    <cellStyle name="Normal 5 2 4 2 2 5 4" xfId="10684" xr:uid="{55BA1B36-6357-431A-A395-6F84BF2CBEFA}"/>
    <cellStyle name="Normal 5 2 4 2 2 6" xfId="2589" xr:uid="{00000000-0005-0000-0000-0000E5180000}"/>
    <cellStyle name="Normal 5 2 4 2 2 6 2" xfId="6873" xr:uid="{00000000-0005-0000-0000-0000E6180000}"/>
    <cellStyle name="Normal 5 2 4 2 2 6 2 2" xfId="15315" xr:uid="{2712D85F-E3B3-41BC-97BC-098E17B3C971}"/>
    <cellStyle name="Normal 5 2 4 2 2 6 3" xfId="11097" xr:uid="{B363D9C5-BE9A-4D50-B8FD-326E83D2F616}"/>
    <cellStyle name="Normal 5 2 4 2 2 7" xfId="4808" xr:uid="{00000000-0005-0000-0000-0000E7180000}"/>
    <cellStyle name="Normal 5 2 4 2 2 7 2" xfId="13250" xr:uid="{D7EC7DCA-DDE9-4053-A321-9DE4A9BF952E}"/>
    <cellStyle name="Normal 5 2 4 2 2 8" xfId="9032" xr:uid="{24963F21-BB34-4993-8A9E-2F0E6B131EC1}"/>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33B90BAF-27B7-494B-B817-CA28650ABEF9}"/>
    <cellStyle name="Normal 5 2 4 2 3 2 3" xfId="11589" xr:uid="{98658F8F-96CD-475C-AD72-D34CDED4ED42}"/>
    <cellStyle name="Normal 5 2 4 2 3 3" xfId="5220" xr:uid="{00000000-0005-0000-0000-0000EB180000}"/>
    <cellStyle name="Normal 5 2 4 2 3 3 2" xfId="13662" xr:uid="{6E1B5703-5011-4600-B8F8-0527D747A975}"/>
    <cellStyle name="Normal 5 2 4 2 3 4" xfId="9444" xr:uid="{FE28970B-C1EF-4CBE-A4EE-FE75B1131B0E}"/>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7493D681-1461-4CD4-ADE5-82C4E58AC801}"/>
    <cellStyle name="Normal 5 2 4 2 4 2 3" xfId="12002" xr:uid="{94F5B863-D661-405E-8F53-04FE04DCB590}"/>
    <cellStyle name="Normal 5 2 4 2 4 3" xfId="5633" xr:uid="{00000000-0005-0000-0000-0000EF180000}"/>
    <cellStyle name="Normal 5 2 4 2 4 3 2" xfId="14075" xr:uid="{441518B0-35E8-47C9-A570-5FDD437A9B46}"/>
    <cellStyle name="Normal 5 2 4 2 4 4" xfId="9857" xr:uid="{C4D4F1E5-5BC8-414F-8FD0-D954AA117345}"/>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B2D5C13A-702B-4C4F-8E17-8A2E08915462}"/>
    <cellStyle name="Normal 5 2 4 2 5 2 3" xfId="12415" xr:uid="{B7D6BD6D-900A-44BE-9E77-0D9A7E295F33}"/>
    <cellStyle name="Normal 5 2 4 2 5 3" xfId="6046" xr:uid="{00000000-0005-0000-0000-0000F3180000}"/>
    <cellStyle name="Normal 5 2 4 2 5 3 2" xfId="14488" xr:uid="{0A889DBD-8F4E-41A6-8E89-852DE0369D7C}"/>
    <cellStyle name="Normal 5 2 4 2 5 4" xfId="10270" xr:uid="{616BF785-BA86-4031-8FD0-3BD620E7737A}"/>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E8A02943-1C84-4119-B187-DAAAC2690C00}"/>
    <cellStyle name="Normal 5 2 4 2 6 2 3" xfId="12828" xr:uid="{C63E0FD6-2B1E-4788-8033-63B0F513DD63}"/>
    <cellStyle name="Normal 5 2 4 2 6 3" xfId="6459" xr:uid="{00000000-0005-0000-0000-0000F7180000}"/>
    <cellStyle name="Normal 5 2 4 2 6 3 2" xfId="14901" xr:uid="{248E8524-E03B-49B9-8E67-A01A8E293734}"/>
    <cellStyle name="Normal 5 2 4 2 6 4" xfId="10683" xr:uid="{639433F7-FC39-44B1-80AD-67FD0F264859}"/>
    <cellStyle name="Normal 5 2 4 2 7" xfId="2588" xr:uid="{00000000-0005-0000-0000-0000F8180000}"/>
    <cellStyle name="Normal 5 2 4 2 7 2" xfId="6872" xr:uid="{00000000-0005-0000-0000-0000F9180000}"/>
    <cellStyle name="Normal 5 2 4 2 7 2 2" xfId="15314" xr:uid="{345BD67D-24CA-4889-94FE-1BA135718FFA}"/>
    <cellStyle name="Normal 5 2 4 2 7 3" xfId="11096" xr:uid="{54181BF0-61A3-42F9-A8E0-81DB189E17DC}"/>
    <cellStyle name="Normal 5 2 4 2 8" xfId="4807" xr:uid="{00000000-0005-0000-0000-0000FA180000}"/>
    <cellStyle name="Normal 5 2 4 2 8 2" xfId="13249" xr:uid="{B39AC60F-F413-4476-8F7F-EBED73CE2602}"/>
    <cellStyle name="Normal 5 2 4 2 9" xfId="9031" xr:uid="{1087B995-1309-46AB-A753-990ED3D7D2CD}"/>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188E8B27-23CE-4D3F-9993-86099D56CB87}"/>
    <cellStyle name="Normal 5 2 4 3 2 2 3" xfId="11591" xr:uid="{44AF70D9-D88C-47F3-B071-DA9BFCA463A6}"/>
    <cellStyle name="Normal 5 2 4 3 2 3" xfId="5222" xr:uid="{00000000-0005-0000-0000-0000FF180000}"/>
    <cellStyle name="Normal 5 2 4 3 2 3 2" xfId="13664" xr:uid="{A3037A58-8B39-4EF7-BAF9-5E8F292DD1F5}"/>
    <cellStyle name="Normal 5 2 4 3 2 4" xfId="9446" xr:uid="{5C6E904B-3AD5-4B7D-9E9F-085BDEC47141}"/>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44D8D8BF-5F6A-4281-B599-5933C81D0866}"/>
    <cellStyle name="Normal 5 2 4 3 3 2 3" xfId="12004" xr:uid="{9E4CC471-A028-4C4A-B8D1-DBD2694969B1}"/>
    <cellStyle name="Normal 5 2 4 3 3 3" xfId="5635" xr:uid="{00000000-0005-0000-0000-000003190000}"/>
    <cellStyle name="Normal 5 2 4 3 3 3 2" xfId="14077" xr:uid="{6AF746B6-7F75-4200-A050-D2D8AF9A0991}"/>
    <cellStyle name="Normal 5 2 4 3 3 4" xfId="9859" xr:uid="{D6940080-FC2C-46F8-883F-35F8A35E1FBF}"/>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CB1CB56B-5485-4280-94F8-6D995578425A}"/>
    <cellStyle name="Normal 5 2 4 3 4 2 3" xfId="12417" xr:uid="{BA72B171-FF90-4688-AEB8-14940E6DAAC1}"/>
    <cellStyle name="Normal 5 2 4 3 4 3" xfId="6048" xr:uid="{00000000-0005-0000-0000-000007190000}"/>
    <cellStyle name="Normal 5 2 4 3 4 3 2" xfId="14490" xr:uid="{48D130F9-C5BA-4C2C-841D-736A6E0BCC92}"/>
    <cellStyle name="Normal 5 2 4 3 4 4" xfId="10272" xr:uid="{C2E107C6-8704-4116-B46E-AC39D1A0B688}"/>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3017163F-ADDA-40BF-AE90-FCFDA032FAB2}"/>
    <cellStyle name="Normal 5 2 4 3 5 2 3" xfId="12830" xr:uid="{3FA29120-F034-490F-813E-41DA790F3F3D}"/>
    <cellStyle name="Normal 5 2 4 3 5 3" xfId="6461" xr:uid="{00000000-0005-0000-0000-00000B190000}"/>
    <cellStyle name="Normal 5 2 4 3 5 3 2" xfId="14903" xr:uid="{F1DB68E1-4170-48AE-B965-F1F22AAAB3D4}"/>
    <cellStyle name="Normal 5 2 4 3 5 4" xfId="10685" xr:uid="{855F1BAA-2BC8-467F-8CA4-CFB5AD6BCA3D}"/>
    <cellStyle name="Normal 5 2 4 3 6" xfId="2590" xr:uid="{00000000-0005-0000-0000-00000C190000}"/>
    <cellStyle name="Normal 5 2 4 3 6 2" xfId="6874" xr:uid="{00000000-0005-0000-0000-00000D190000}"/>
    <cellStyle name="Normal 5 2 4 3 6 2 2" xfId="15316" xr:uid="{8AA240CE-6973-43C5-9F7A-F33E5CB6A85B}"/>
    <cellStyle name="Normal 5 2 4 3 6 3" xfId="11098" xr:uid="{A148C31B-1C50-48D3-9238-0CCF64C799E5}"/>
    <cellStyle name="Normal 5 2 4 3 7" xfId="4809" xr:uid="{00000000-0005-0000-0000-00000E190000}"/>
    <cellStyle name="Normal 5 2 4 3 7 2" xfId="13251" xr:uid="{BA7E6760-A04F-4317-9E23-FBC35A46B300}"/>
    <cellStyle name="Normal 5 2 4 3 8" xfId="9033" xr:uid="{B497402B-CDA3-4A2D-9A6C-8A8C114B28A1}"/>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E9B8DDEC-8998-4418-A470-5A388330F8DE}"/>
    <cellStyle name="Normal 5 2 4 4 2 3" xfId="11588" xr:uid="{1A794E83-B976-4A24-8916-48C8318487DE}"/>
    <cellStyle name="Normal 5 2 4 4 3" xfId="5219" xr:uid="{00000000-0005-0000-0000-000012190000}"/>
    <cellStyle name="Normal 5 2 4 4 3 2" xfId="13661" xr:uid="{EC484162-31A4-47A4-84B1-23B8B715AC34}"/>
    <cellStyle name="Normal 5 2 4 4 4" xfId="9443" xr:uid="{82020966-673E-494B-9A14-276AE470E187}"/>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D21E1061-D187-45F1-92F7-DA7BAFA77C1A}"/>
    <cellStyle name="Normal 5 2 4 5 2 3" xfId="12001" xr:uid="{79270BE2-F277-4961-BAD2-6F0A7E52A798}"/>
    <cellStyle name="Normal 5 2 4 5 3" xfId="5632" xr:uid="{00000000-0005-0000-0000-000016190000}"/>
    <cellStyle name="Normal 5 2 4 5 3 2" xfId="14074" xr:uid="{431DDE70-9E82-4559-A0CE-4A6EAD4B3AC1}"/>
    <cellStyle name="Normal 5 2 4 5 4" xfId="9856" xr:uid="{2EB86ACB-ED09-4F92-810C-B98C958EE8C0}"/>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5FD17D94-87FE-48C6-BBA3-E6AEFE0320EB}"/>
    <cellStyle name="Normal 5 2 4 6 2 3" xfId="12414" xr:uid="{364FD144-F00C-48C7-8002-7E2175D4A7A8}"/>
    <cellStyle name="Normal 5 2 4 6 3" xfId="6045" xr:uid="{00000000-0005-0000-0000-00001A190000}"/>
    <cellStyle name="Normal 5 2 4 6 3 2" xfId="14487" xr:uid="{55E09878-6273-459E-AC54-95651432BD7A}"/>
    <cellStyle name="Normal 5 2 4 6 4" xfId="10269" xr:uid="{CAB67956-B749-4278-A44E-11744FE2DD7F}"/>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7120FB2A-AABE-442A-A24F-24EFA15E9BAB}"/>
    <cellStyle name="Normal 5 2 4 7 2 3" xfId="12827" xr:uid="{5E3F8285-B2AB-47F1-9DC4-34C9580D09FB}"/>
    <cellStyle name="Normal 5 2 4 7 3" xfId="6458" xr:uid="{00000000-0005-0000-0000-00001E190000}"/>
    <cellStyle name="Normal 5 2 4 7 3 2" xfId="14900" xr:uid="{DD4B34B7-65E0-4D26-90C0-F03FD55C8DBB}"/>
    <cellStyle name="Normal 5 2 4 7 4" xfId="10682" xr:uid="{ABB16F89-5B6F-4366-93B2-41DD66D02064}"/>
    <cellStyle name="Normal 5 2 4 8" xfId="2587" xr:uid="{00000000-0005-0000-0000-00001F190000}"/>
    <cellStyle name="Normal 5 2 4 8 2" xfId="6871" xr:uid="{00000000-0005-0000-0000-000020190000}"/>
    <cellStyle name="Normal 5 2 4 8 2 2" xfId="15313" xr:uid="{067A9E40-8C12-4EA1-AF6A-D2AA2E035620}"/>
    <cellStyle name="Normal 5 2 4 8 3" xfId="11095" xr:uid="{ECBCD5DE-17D5-486C-84CD-B6A036578E62}"/>
    <cellStyle name="Normal 5 2 4 9" xfId="4806" xr:uid="{00000000-0005-0000-0000-000021190000}"/>
    <cellStyle name="Normal 5 2 4 9 2" xfId="13248" xr:uid="{075525F1-7560-410D-A7AA-F7E060C67C88}"/>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BBD7A98C-DF28-49E5-8144-9A3F4D162493}"/>
    <cellStyle name="Normal 5 2 5 2 2 2 3" xfId="11593" xr:uid="{5EFB357F-3841-4C48-A8F0-EE4018439B5C}"/>
    <cellStyle name="Normal 5 2 5 2 2 3" xfId="5224" xr:uid="{00000000-0005-0000-0000-000027190000}"/>
    <cellStyle name="Normal 5 2 5 2 2 3 2" xfId="13666" xr:uid="{1C0C8CBA-FA5C-4AAE-8F38-453F017AD0D6}"/>
    <cellStyle name="Normal 5 2 5 2 2 4" xfId="9448" xr:uid="{5529C779-81D5-4565-A98E-1E2BB3688938}"/>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CED47597-4CD5-49E5-99DC-FC5979FEF7A1}"/>
    <cellStyle name="Normal 5 2 5 2 3 2 3" xfId="12006" xr:uid="{B36619EA-F7F7-4AC0-9187-F50B72F2C98C}"/>
    <cellStyle name="Normal 5 2 5 2 3 3" xfId="5637" xr:uid="{00000000-0005-0000-0000-00002B190000}"/>
    <cellStyle name="Normal 5 2 5 2 3 3 2" xfId="14079" xr:uid="{B8AC0283-DDD7-435B-800F-E4F75C06CD10}"/>
    <cellStyle name="Normal 5 2 5 2 3 4" xfId="9861" xr:uid="{C3F9CE52-397F-47E3-B16E-8738841BDC2E}"/>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93432601-1080-4D26-8AC4-CFB46D273E41}"/>
    <cellStyle name="Normal 5 2 5 2 4 2 3" xfId="12419" xr:uid="{A019DCEA-97F9-4B85-940E-8768B1B35244}"/>
    <cellStyle name="Normal 5 2 5 2 4 3" xfId="6050" xr:uid="{00000000-0005-0000-0000-00002F190000}"/>
    <cellStyle name="Normal 5 2 5 2 4 3 2" xfId="14492" xr:uid="{E4FF4842-8BCE-4B31-B211-6DCBE7252BD5}"/>
    <cellStyle name="Normal 5 2 5 2 4 4" xfId="10274" xr:uid="{D809FF0F-1BAD-4116-AFE2-182A514256F9}"/>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0E37E119-2670-46EC-8BB2-9EC5BB23FC87}"/>
    <cellStyle name="Normal 5 2 5 2 5 2 3" xfId="12832" xr:uid="{E2A4E24C-8530-47C6-988A-8E1EF819274F}"/>
    <cellStyle name="Normal 5 2 5 2 5 3" xfId="6463" xr:uid="{00000000-0005-0000-0000-000033190000}"/>
    <cellStyle name="Normal 5 2 5 2 5 3 2" xfId="14905" xr:uid="{C0DE55AE-6562-4F40-9DD0-B7A40740326D}"/>
    <cellStyle name="Normal 5 2 5 2 5 4" xfId="10687" xr:uid="{441E287B-8465-429C-B5C5-1636766FEAEC}"/>
    <cellStyle name="Normal 5 2 5 2 6" xfId="2592" xr:uid="{00000000-0005-0000-0000-000034190000}"/>
    <cellStyle name="Normal 5 2 5 2 6 2" xfId="6876" xr:uid="{00000000-0005-0000-0000-000035190000}"/>
    <cellStyle name="Normal 5 2 5 2 6 2 2" xfId="15318" xr:uid="{05A89A0C-3924-4EFE-A448-81CB9735112C}"/>
    <cellStyle name="Normal 5 2 5 2 6 3" xfId="11100" xr:uid="{0906D8E8-00DD-4D67-8E23-9DD088521952}"/>
    <cellStyle name="Normal 5 2 5 2 7" xfId="4811" xr:uid="{00000000-0005-0000-0000-000036190000}"/>
    <cellStyle name="Normal 5 2 5 2 7 2" xfId="13253" xr:uid="{3C94CA8F-AB32-46CA-A831-BA056949ED51}"/>
    <cellStyle name="Normal 5 2 5 2 8" xfId="9035" xr:uid="{BA36564C-E6D6-440C-B609-3ADA73BBE3A5}"/>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3F9799A2-B0FA-4E0C-B97E-EC2884A4721B}"/>
    <cellStyle name="Normal 5 2 5 3 2 3" xfId="11592" xr:uid="{A5F23A07-7508-4504-B9AF-1F5F0CA6A710}"/>
    <cellStyle name="Normal 5 2 5 3 3" xfId="5223" xr:uid="{00000000-0005-0000-0000-00003A190000}"/>
    <cellStyle name="Normal 5 2 5 3 3 2" xfId="13665" xr:uid="{7F55F4BD-DCA3-448F-B5E9-AF28CAEBC774}"/>
    <cellStyle name="Normal 5 2 5 3 4" xfId="9447" xr:uid="{5A6859D1-DE16-4588-BA74-144788AB1ADD}"/>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CE50BBB0-0FD5-4321-ACAC-D9A835A70D20}"/>
    <cellStyle name="Normal 5 2 5 4 2 3" xfId="12005" xr:uid="{CCF01709-1BF5-4EDD-9F6A-68E8D38D5627}"/>
    <cellStyle name="Normal 5 2 5 4 3" xfId="5636" xr:uid="{00000000-0005-0000-0000-00003E190000}"/>
    <cellStyle name="Normal 5 2 5 4 3 2" xfId="14078" xr:uid="{D826BD8A-0A3A-4EA3-881F-9EB6BF29CDFC}"/>
    <cellStyle name="Normal 5 2 5 4 4" xfId="9860" xr:uid="{3D3E0DD0-979F-4AA5-BA90-9A2D24A252D5}"/>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8663D4AA-4E91-419E-86FD-E03E95F9BB40}"/>
    <cellStyle name="Normal 5 2 5 5 2 3" xfId="12418" xr:uid="{FC98CDFD-04ED-4D4C-BADC-04B29F68ADD2}"/>
    <cellStyle name="Normal 5 2 5 5 3" xfId="6049" xr:uid="{00000000-0005-0000-0000-000042190000}"/>
    <cellStyle name="Normal 5 2 5 5 3 2" xfId="14491" xr:uid="{2B70E207-02C8-4A73-BF91-47BC9DF85AC4}"/>
    <cellStyle name="Normal 5 2 5 5 4" xfId="10273" xr:uid="{DB5E06DB-403C-47F7-93E0-DAD07C1363E8}"/>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BA6E6447-94DE-4DEA-9054-E4062390780A}"/>
    <cellStyle name="Normal 5 2 5 6 2 3" xfId="12831" xr:uid="{9C2AD1A8-25B1-486E-AB46-48BFC23095D2}"/>
    <cellStyle name="Normal 5 2 5 6 3" xfId="6462" xr:uid="{00000000-0005-0000-0000-000046190000}"/>
    <cellStyle name="Normal 5 2 5 6 3 2" xfId="14904" xr:uid="{CF8D6D08-1014-437E-A4DE-01479BFFAF0F}"/>
    <cellStyle name="Normal 5 2 5 6 4" xfId="10686" xr:uid="{143A0C50-9E2F-4433-BB0E-9E71F51BA68F}"/>
    <cellStyle name="Normal 5 2 5 7" xfId="2591" xr:uid="{00000000-0005-0000-0000-000047190000}"/>
    <cellStyle name="Normal 5 2 5 7 2" xfId="6875" xr:uid="{00000000-0005-0000-0000-000048190000}"/>
    <cellStyle name="Normal 5 2 5 7 2 2" xfId="15317" xr:uid="{F4C22DA3-FB61-462C-B6E0-FECDE5527297}"/>
    <cellStyle name="Normal 5 2 5 7 3" xfId="11099" xr:uid="{A75DA0D0-C5D5-4231-AB67-503FC88417C4}"/>
    <cellStyle name="Normal 5 2 5 8" xfId="4810" xr:uid="{00000000-0005-0000-0000-000049190000}"/>
    <cellStyle name="Normal 5 2 5 8 2" xfId="13252" xr:uid="{6ED5DED5-8D26-4CD3-A623-B568CB9E3FCB}"/>
    <cellStyle name="Normal 5 2 5 9" xfId="9034" xr:uid="{F23BA17E-C0E2-4C54-BDC7-EE895FBEB8EB}"/>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4F7CAE14-4FE8-41C3-9214-68DD43B26048}"/>
    <cellStyle name="Normal 5 2 6 2 2 3" xfId="11594" xr:uid="{38616E0B-0551-41CD-8D84-C928E4D88383}"/>
    <cellStyle name="Normal 5 2 6 2 3" xfId="5225" xr:uid="{00000000-0005-0000-0000-00004E190000}"/>
    <cellStyle name="Normal 5 2 6 2 3 2" xfId="13667" xr:uid="{79E2CD5F-1485-42A9-ADD3-DF833317CA4F}"/>
    <cellStyle name="Normal 5 2 6 2 4" xfId="9449" xr:uid="{C7467CD6-2DA7-42E7-A222-87C70D78AEE2}"/>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38A4234B-E63E-45DA-AA0C-691788446D39}"/>
    <cellStyle name="Normal 5 2 6 3 2 3" xfId="12007" xr:uid="{0AC33D6E-A1AD-4B2D-BBE5-064B6C17DD5F}"/>
    <cellStyle name="Normal 5 2 6 3 3" xfId="5638" xr:uid="{00000000-0005-0000-0000-000052190000}"/>
    <cellStyle name="Normal 5 2 6 3 3 2" xfId="14080" xr:uid="{B16E73A2-5E00-412A-B9AE-DB08191F69A3}"/>
    <cellStyle name="Normal 5 2 6 3 4" xfId="9862" xr:uid="{FD804B9A-67A5-4522-8054-ED57FA3F320C}"/>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2ABD1411-5DD8-442E-9C6C-60E778FE7671}"/>
    <cellStyle name="Normal 5 2 6 4 2 3" xfId="12420" xr:uid="{3C9E7FB4-6139-4EFD-A479-357432CD0B79}"/>
    <cellStyle name="Normal 5 2 6 4 3" xfId="6051" xr:uid="{00000000-0005-0000-0000-000056190000}"/>
    <cellStyle name="Normal 5 2 6 4 3 2" xfId="14493" xr:uid="{C5017288-4F11-4B7F-9AEA-2B54A8B1189B}"/>
    <cellStyle name="Normal 5 2 6 4 4" xfId="10275" xr:uid="{BA7F0F76-ADFA-4F82-8FEE-64E10DDFD7CB}"/>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78329053-7D79-49E9-926A-D1C817D03A11}"/>
    <cellStyle name="Normal 5 2 6 5 2 3" xfId="12833" xr:uid="{187A5138-1D91-42EE-8FF7-9E33165B4FD3}"/>
    <cellStyle name="Normal 5 2 6 5 3" xfId="6464" xr:uid="{00000000-0005-0000-0000-00005A190000}"/>
    <cellStyle name="Normal 5 2 6 5 3 2" xfId="14906" xr:uid="{1A9EE3E7-7833-46FD-938D-2A4DB2B9101E}"/>
    <cellStyle name="Normal 5 2 6 5 4" xfId="10688" xr:uid="{07C29D66-CB0C-40B0-834B-09ABFEA23507}"/>
    <cellStyle name="Normal 5 2 6 6" xfId="2593" xr:uid="{00000000-0005-0000-0000-00005B190000}"/>
    <cellStyle name="Normal 5 2 6 6 2" xfId="6877" xr:uid="{00000000-0005-0000-0000-00005C190000}"/>
    <cellStyle name="Normal 5 2 6 6 2 2" xfId="15319" xr:uid="{D2F31504-6807-48AD-96C8-D42DE077672F}"/>
    <cellStyle name="Normal 5 2 6 6 3" xfId="11101" xr:uid="{ACB675E5-030E-435C-AADA-B3C840736093}"/>
    <cellStyle name="Normal 5 2 6 7" xfId="4812" xr:uid="{00000000-0005-0000-0000-00005D190000}"/>
    <cellStyle name="Normal 5 2 6 7 2" xfId="13254" xr:uid="{C0B01767-B815-48D7-97F4-1DDEAEFD9BC9}"/>
    <cellStyle name="Normal 5 2 6 8" xfId="9036" xr:uid="{1D6F37A2-FF79-4B94-A141-29F8ED855510}"/>
    <cellStyle name="Normal 5 2 7" xfId="881" xr:uid="{00000000-0005-0000-0000-00005E190000}"/>
    <cellStyle name="Normal 5 2 7 2" xfId="3116" xr:uid="{00000000-0005-0000-0000-00005F190000}"/>
    <cellStyle name="Normal 5 2 7 2 2" xfId="7339" xr:uid="{00000000-0005-0000-0000-000060190000}"/>
    <cellStyle name="Normal 5 2 7 2 2 2" xfId="15781" xr:uid="{B177DA8B-723C-45D6-97BC-D836FCA1FD0F}"/>
    <cellStyle name="Normal 5 2 7 2 3" xfId="11563" xr:uid="{65095E51-51F0-4952-9714-15A5AE9917A2}"/>
    <cellStyle name="Normal 5 2 7 3" xfId="5194" xr:uid="{00000000-0005-0000-0000-000061190000}"/>
    <cellStyle name="Normal 5 2 7 3 2" xfId="13636" xr:uid="{EBB524EC-B733-4EE4-BC75-7AB0B57F7C74}"/>
    <cellStyle name="Normal 5 2 7 4" xfId="9418" xr:uid="{06B5E46D-7EE5-40DB-9549-D4F771252461}"/>
    <cellStyle name="Normal 5 2 8" xfId="1299" xr:uid="{00000000-0005-0000-0000-000062190000}"/>
    <cellStyle name="Normal 5 2 8 2" xfId="3529" xr:uid="{00000000-0005-0000-0000-000063190000}"/>
    <cellStyle name="Normal 5 2 8 2 2" xfId="7752" xr:uid="{00000000-0005-0000-0000-000064190000}"/>
    <cellStyle name="Normal 5 2 8 2 2 2" xfId="16194" xr:uid="{95306848-00DB-449D-8DDE-F1532AC919B9}"/>
    <cellStyle name="Normal 5 2 8 2 3" xfId="11976" xr:uid="{602454E4-5EAF-4348-AC2A-0B690B4A758B}"/>
    <cellStyle name="Normal 5 2 8 3" xfId="5607" xr:uid="{00000000-0005-0000-0000-000065190000}"/>
    <cellStyle name="Normal 5 2 8 3 2" xfId="14049" xr:uid="{7E1949A3-F96E-43F7-82D4-703F79D41804}"/>
    <cellStyle name="Normal 5 2 8 4" xfId="9831" xr:uid="{105B6AE7-221A-4C55-9121-DBEC159B5DDD}"/>
    <cellStyle name="Normal 5 2 9" xfId="1712" xr:uid="{00000000-0005-0000-0000-000066190000}"/>
    <cellStyle name="Normal 5 2 9 2" xfId="3942" xr:uid="{00000000-0005-0000-0000-000067190000}"/>
    <cellStyle name="Normal 5 2 9 2 2" xfId="8165" xr:uid="{00000000-0005-0000-0000-000068190000}"/>
    <cellStyle name="Normal 5 2 9 2 2 2" xfId="16607" xr:uid="{07D862EB-F415-426D-9C20-05038D4BF288}"/>
    <cellStyle name="Normal 5 2 9 2 3" xfId="12389" xr:uid="{C0BA6EA7-AE87-498B-8875-9030577277FA}"/>
    <cellStyle name="Normal 5 2 9 3" xfId="6020" xr:uid="{00000000-0005-0000-0000-000069190000}"/>
    <cellStyle name="Normal 5 2 9 3 2" xfId="14462" xr:uid="{80F932ED-0A5E-4A8D-A02B-85F8699F7830}"/>
    <cellStyle name="Normal 5 2 9 4" xfId="10244" xr:uid="{0EC0980D-85B5-4AA5-BFA6-A144C9A3439C}"/>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ACD2AC21-018B-492E-B9DF-D1289C86090E}"/>
    <cellStyle name="Normal 5 3 10 2 3" xfId="12834" xr:uid="{418F7881-57B2-4F83-9CA0-D5558766ADEC}"/>
    <cellStyle name="Normal 5 3 10 3" xfId="6465" xr:uid="{00000000-0005-0000-0000-00006E190000}"/>
    <cellStyle name="Normal 5 3 10 3 2" xfId="14907" xr:uid="{27A4F96E-4915-49BD-96D9-EFD732776E7C}"/>
    <cellStyle name="Normal 5 3 10 4" xfId="10689" xr:uid="{01019758-C5B1-4A1C-835D-D3FB7EDB09F0}"/>
    <cellStyle name="Normal 5 3 11" xfId="2594" xr:uid="{00000000-0005-0000-0000-00006F190000}"/>
    <cellStyle name="Normal 5 3 11 2" xfId="6878" xr:uid="{00000000-0005-0000-0000-000070190000}"/>
    <cellStyle name="Normal 5 3 11 2 2" xfId="15320" xr:uid="{49D184C7-E490-4F98-A8B0-C6F3BD160D6D}"/>
    <cellStyle name="Normal 5 3 11 3" xfId="11102" xr:uid="{ACB2CACA-30CD-44E7-97B2-34568FF9327A}"/>
    <cellStyle name="Normal 5 3 12" xfId="4813" xr:uid="{00000000-0005-0000-0000-000071190000}"/>
    <cellStyle name="Normal 5 3 12 2" xfId="13255" xr:uid="{245EFB08-BF4A-46E9-8287-139FD0C86685}"/>
    <cellStyle name="Normal 5 3 13" xfId="9037" xr:uid="{E2344DD3-2E8E-4BBF-987B-CB0811A2A3F8}"/>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B5404E1B-B1D7-41CB-AE90-FE1F19BF0D13}"/>
    <cellStyle name="Normal 5 3 3 11" xfId="9038" xr:uid="{FEB67B38-8F58-4B3C-939D-B2CBC1CEAC04}"/>
    <cellStyle name="Normal 5 3 3 2" xfId="442" xr:uid="{00000000-0005-0000-0000-000076190000}"/>
    <cellStyle name="Normal 5 3 3 2 10" xfId="9039" xr:uid="{3D6EF819-44F4-4907-BBA0-F2351111309E}"/>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3FAFBAC4-A332-4205-9BE7-BD4839B59399}"/>
    <cellStyle name="Normal 5 3 3 2 2 2 2 2 3" xfId="11599" xr:uid="{6D94BD8A-E738-4BA7-AA7E-65E4EEC5A740}"/>
    <cellStyle name="Normal 5 3 3 2 2 2 2 3" xfId="5230" xr:uid="{00000000-0005-0000-0000-00007C190000}"/>
    <cellStyle name="Normal 5 3 3 2 2 2 2 3 2" xfId="13672" xr:uid="{B592E829-A4B9-4EBB-873B-C05D3FC46475}"/>
    <cellStyle name="Normal 5 3 3 2 2 2 2 4" xfId="9454" xr:uid="{05839BB0-6E62-4C8B-8FBA-31913833DD54}"/>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6BCD3795-1BFF-45E0-8B83-72BEAE3E0108}"/>
    <cellStyle name="Normal 5 3 3 2 2 2 3 2 3" xfId="12012" xr:uid="{65EC9B59-C1A7-433B-A946-A4CA8C11D8FA}"/>
    <cellStyle name="Normal 5 3 3 2 2 2 3 3" xfId="5643" xr:uid="{00000000-0005-0000-0000-000080190000}"/>
    <cellStyle name="Normal 5 3 3 2 2 2 3 3 2" xfId="14085" xr:uid="{B38EE410-B3D7-47A7-86B3-2E779D4CAE0E}"/>
    <cellStyle name="Normal 5 3 3 2 2 2 3 4" xfId="9867" xr:uid="{248037DD-3165-4092-9EA5-BFF085686BBC}"/>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BAA1065D-D8E5-4601-8494-66807EB5AC98}"/>
    <cellStyle name="Normal 5 3 3 2 2 2 4 2 3" xfId="12425" xr:uid="{C3CA9549-5FDB-4F6E-83EC-BD36B895F5D1}"/>
    <cellStyle name="Normal 5 3 3 2 2 2 4 3" xfId="6056" xr:uid="{00000000-0005-0000-0000-000084190000}"/>
    <cellStyle name="Normal 5 3 3 2 2 2 4 3 2" xfId="14498" xr:uid="{651ADDA4-12CC-4A58-A48A-A71F6A2D5595}"/>
    <cellStyle name="Normal 5 3 3 2 2 2 4 4" xfId="10280" xr:uid="{17A46DF3-49E4-46DA-9E71-B8B40A0A5C2A}"/>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01EBCEAC-E270-4E0C-B3D3-3A14D445F312}"/>
    <cellStyle name="Normal 5 3 3 2 2 2 5 2 3" xfId="12838" xr:uid="{3E022E53-DA53-410D-B33C-1236F358D234}"/>
    <cellStyle name="Normal 5 3 3 2 2 2 5 3" xfId="6469" xr:uid="{00000000-0005-0000-0000-000088190000}"/>
    <cellStyle name="Normal 5 3 3 2 2 2 5 3 2" xfId="14911" xr:uid="{37826D6F-BFC9-4E58-8F70-DFC82E7DDDC1}"/>
    <cellStyle name="Normal 5 3 3 2 2 2 5 4" xfId="10693" xr:uid="{6CF48FA1-285D-488E-B95E-FB8F50FF04EC}"/>
    <cellStyle name="Normal 5 3 3 2 2 2 6" xfId="2598" xr:uid="{00000000-0005-0000-0000-000089190000}"/>
    <cellStyle name="Normal 5 3 3 2 2 2 6 2" xfId="6882" xr:uid="{00000000-0005-0000-0000-00008A190000}"/>
    <cellStyle name="Normal 5 3 3 2 2 2 6 2 2" xfId="15324" xr:uid="{D00392BF-64DE-4D22-B7B6-4D79574FC60F}"/>
    <cellStyle name="Normal 5 3 3 2 2 2 6 3" xfId="11106" xr:uid="{01B61B83-F2CB-417D-A86B-DF1F08E5E739}"/>
    <cellStyle name="Normal 5 3 3 2 2 2 7" xfId="4817" xr:uid="{00000000-0005-0000-0000-00008B190000}"/>
    <cellStyle name="Normal 5 3 3 2 2 2 7 2" xfId="13259" xr:uid="{C9E50905-529A-4820-A2D9-CCE3D49E856F}"/>
    <cellStyle name="Normal 5 3 3 2 2 2 8" xfId="9041" xr:uid="{39C3A082-B047-4965-B323-0DAAEA335BC6}"/>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DAD8492D-8708-4DF5-A67C-1FBC9712535E}"/>
    <cellStyle name="Normal 5 3 3 2 2 3 2 3" xfId="11598" xr:uid="{071234A1-B142-473C-A2A5-C3708E7B42CE}"/>
    <cellStyle name="Normal 5 3 3 2 2 3 3" xfId="5229" xr:uid="{00000000-0005-0000-0000-00008F190000}"/>
    <cellStyle name="Normal 5 3 3 2 2 3 3 2" xfId="13671" xr:uid="{47DC06A3-C5E0-45EA-B2E0-FC8ED6820AF8}"/>
    <cellStyle name="Normal 5 3 3 2 2 3 4" xfId="9453" xr:uid="{8BB051F2-7C8E-408E-931F-BC2AE7F92016}"/>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2EC454FB-E193-4F19-9EC0-6D006F8C1DAE}"/>
    <cellStyle name="Normal 5 3 3 2 2 4 2 3" xfId="12011" xr:uid="{00279052-B7F6-451D-A858-1F9EEC9EA120}"/>
    <cellStyle name="Normal 5 3 3 2 2 4 3" xfId="5642" xr:uid="{00000000-0005-0000-0000-000093190000}"/>
    <cellStyle name="Normal 5 3 3 2 2 4 3 2" xfId="14084" xr:uid="{A866C78D-66A2-43F6-8653-02333580D1C8}"/>
    <cellStyle name="Normal 5 3 3 2 2 4 4" xfId="9866" xr:uid="{C6018514-1626-46EF-BBB8-D0D0F87092DA}"/>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4BE83605-8D12-4B21-A07D-747C750AAFD3}"/>
    <cellStyle name="Normal 5 3 3 2 2 5 2 3" xfId="12424" xr:uid="{94828E4D-6177-4D11-B959-E41C71BE4A1C}"/>
    <cellStyle name="Normal 5 3 3 2 2 5 3" xfId="6055" xr:uid="{00000000-0005-0000-0000-000097190000}"/>
    <cellStyle name="Normal 5 3 3 2 2 5 3 2" xfId="14497" xr:uid="{A0AAAA78-7505-4EF7-8E6E-E3B1943C3940}"/>
    <cellStyle name="Normal 5 3 3 2 2 5 4" xfId="10279" xr:uid="{C9CA0C28-F02E-4517-B787-26562B1435AF}"/>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13B36329-CDB1-49D9-853F-99EDC7619F77}"/>
    <cellStyle name="Normal 5 3 3 2 2 6 2 3" xfId="12837" xr:uid="{76C2938A-EA06-4432-BA39-394BA712E5BD}"/>
    <cellStyle name="Normal 5 3 3 2 2 6 3" xfId="6468" xr:uid="{00000000-0005-0000-0000-00009B190000}"/>
    <cellStyle name="Normal 5 3 3 2 2 6 3 2" xfId="14910" xr:uid="{576BA4F4-2AF5-4F08-A370-A3C22D5B9C98}"/>
    <cellStyle name="Normal 5 3 3 2 2 6 4" xfId="10692" xr:uid="{CF3C360D-E31D-4835-9D02-5149FE4BE665}"/>
    <cellStyle name="Normal 5 3 3 2 2 7" xfId="2597" xr:uid="{00000000-0005-0000-0000-00009C190000}"/>
    <cellStyle name="Normal 5 3 3 2 2 7 2" xfId="6881" xr:uid="{00000000-0005-0000-0000-00009D190000}"/>
    <cellStyle name="Normal 5 3 3 2 2 7 2 2" xfId="15323" xr:uid="{1336B950-12B6-49BB-AB66-04BC04D47F6D}"/>
    <cellStyle name="Normal 5 3 3 2 2 7 3" xfId="11105" xr:uid="{DCE31F63-93DB-4484-BFCC-6057A973FE4C}"/>
    <cellStyle name="Normal 5 3 3 2 2 8" xfId="4816" xr:uid="{00000000-0005-0000-0000-00009E190000}"/>
    <cellStyle name="Normal 5 3 3 2 2 8 2" xfId="13258" xr:uid="{6029D649-47CD-499F-9666-775AF94754D2}"/>
    <cellStyle name="Normal 5 3 3 2 2 9" xfId="9040" xr:uid="{3E899577-1FA6-4927-B0A1-7183DA22FD7D}"/>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60FF5F95-08B9-4DA3-B106-C3C1C85CEC25}"/>
    <cellStyle name="Normal 5 3 3 2 3 2 2 3" xfId="11600" xr:uid="{E62AAC63-4454-49A3-A6FF-76D68F4B3586}"/>
    <cellStyle name="Normal 5 3 3 2 3 2 3" xfId="5231" xr:uid="{00000000-0005-0000-0000-0000A3190000}"/>
    <cellStyle name="Normal 5 3 3 2 3 2 3 2" xfId="13673" xr:uid="{3F0B6F7F-553F-4FCC-B215-6EBF65D9CCEC}"/>
    <cellStyle name="Normal 5 3 3 2 3 2 4" xfId="9455" xr:uid="{092F3740-E7C1-40A8-9229-941C44A9EBCE}"/>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DD81976E-EF5D-4762-A668-22765C7B98BA}"/>
    <cellStyle name="Normal 5 3 3 2 3 3 2 3" xfId="12013" xr:uid="{546A9835-ABC1-48E0-8018-3A3EDD9FE7B8}"/>
    <cellStyle name="Normal 5 3 3 2 3 3 3" xfId="5644" xr:uid="{00000000-0005-0000-0000-0000A7190000}"/>
    <cellStyle name="Normal 5 3 3 2 3 3 3 2" xfId="14086" xr:uid="{EB36F785-B12A-4A9C-80B1-2290E87BA6D2}"/>
    <cellStyle name="Normal 5 3 3 2 3 3 4" xfId="9868" xr:uid="{A9C299BC-61BA-4104-AC86-794DBF3047A1}"/>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BE2C0857-CCAD-41FD-BF5A-A8F1C2BA4576}"/>
    <cellStyle name="Normal 5 3 3 2 3 4 2 3" xfId="12426" xr:uid="{B34DEA28-E2F6-486B-B70F-6988F51ABDBA}"/>
    <cellStyle name="Normal 5 3 3 2 3 4 3" xfId="6057" xr:uid="{00000000-0005-0000-0000-0000AB190000}"/>
    <cellStyle name="Normal 5 3 3 2 3 4 3 2" xfId="14499" xr:uid="{D19BDFF5-26E6-4F9E-B361-2289BB3BFD21}"/>
    <cellStyle name="Normal 5 3 3 2 3 4 4" xfId="10281" xr:uid="{6962791B-1EA6-436D-8816-3E1BFA87D612}"/>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C6D8D020-A2A7-41D8-8B52-7469B2354335}"/>
    <cellStyle name="Normal 5 3 3 2 3 5 2 3" xfId="12839" xr:uid="{D14ABB08-C89D-44D4-A21E-11054D306D8C}"/>
    <cellStyle name="Normal 5 3 3 2 3 5 3" xfId="6470" xr:uid="{00000000-0005-0000-0000-0000AF190000}"/>
    <cellStyle name="Normal 5 3 3 2 3 5 3 2" xfId="14912" xr:uid="{97A81FCA-C592-4032-9129-B5BF77D82533}"/>
    <cellStyle name="Normal 5 3 3 2 3 5 4" xfId="10694" xr:uid="{8CB42E5D-B3F2-4BAB-8E95-3881C70E741B}"/>
    <cellStyle name="Normal 5 3 3 2 3 6" xfId="2599" xr:uid="{00000000-0005-0000-0000-0000B0190000}"/>
    <cellStyle name="Normal 5 3 3 2 3 6 2" xfId="6883" xr:uid="{00000000-0005-0000-0000-0000B1190000}"/>
    <cellStyle name="Normal 5 3 3 2 3 6 2 2" xfId="15325" xr:uid="{4B3AAE8B-0332-412B-B8D6-146DC984685C}"/>
    <cellStyle name="Normal 5 3 3 2 3 6 3" xfId="11107" xr:uid="{08E39FDF-45D4-4F35-A23A-518033F32FDB}"/>
    <cellStyle name="Normal 5 3 3 2 3 7" xfId="4818" xr:uid="{00000000-0005-0000-0000-0000B2190000}"/>
    <cellStyle name="Normal 5 3 3 2 3 7 2" xfId="13260" xr:uid="{F849B245-6E54-48FE-97FE-36C69F36A56D}"/>
    <cellStyle name="Normal 5 3 3 2 3 8" xfId="9042" xr:uid="{7B8186BF-A4CC-410F-9221-4351760F7375}"/>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E782AD96-0ABF-4D8B-B4CB-B2BBE9ACF125}"/>
    <cellStyle name="Normal 5 3 3 2 4 2 3" xfId="11597" xr:uid="{F87AAE82-34F1-40E6-BBEF-CCE99F789410}"/>
    <cellStyle name="Normal 5 3 3 2 4 3" xfId="5228" xr:uid="{00000000-0005-0000-0000-0000B6190000}"/>
    <cellStyle name="Normal 5 3 3 2 4 3 2" xfId="13670" xr:uid="{B74E5268-A175-4249-A670-5D4F44750769}"/>
    <cellStyle name="Normal 5 3 3 2 4 4" xfId="9452" xr:uid="{DA37EBE3-E3CF-4E92-84A2-579F742802C0}"/>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9C3AAB3E-E655-4A26-871F-4D43FA784B91}"/>
    <cellStyle name="Normal 5 3 3 2 5 2 3" xfId="12010" xr:uid="{C42F3D28-8EAE-480A-9780-EB21FE9F49F0}"/>
    <cellStyle name="Normal 5 3 3 2 5 3" xfId="5641" xr:uid="{00000000-0005-0000-0000-0000BA190000}"/>
    <cellStyle name="Normal 5 3 3 2 5 3 2" xfId="14083" xr:uid="{C9415BF0-7809-4F15-B0D4-DD8BCDE39173}"/>
    <cellStyle name="Normal 5 3 3 2 5 4" xfId="9865" xr:uid="{81551977-CC62-4F89-A699-37889A67F506}"/>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100A310C-085D-4C69-A9BC-D7637EBBB3CF}"/>
    <cellStyle name="Normal 5 3 3 2 6 2 3" xfId="12423" xr:uid="{21D60554-3060-42C3-A9D4-AA1DF9EC5E26}"/>
    <cellStyle name="Normal 5 3 3 2 6 3" xfId="6054" xr:uid="{00000000-0005-0000-0000-0000BE190000}"/>
    <cellStyle name="Normal 5 3 3 2 6 3 2" xfId="14496" xr:uid="{E9F73478-1043-4E81-90C4-4CB8BF590F19}"/>
    <cellStyle name="Normal 5 3 3 2 6 4" xfId="10278" xr:uid="{19A8811A-6696-4340-A623-03DC76E52D27}"/>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92A54808-7481-4718-B4D7-959F9CBDB747}"/>
    <cellStyle name="Normal 5 3 3 2 7 2 3" xfId="12836" xr:uid="{7D7FF78F-1126-4C9D-83E9-95B842A80533}"/>
    <cellStyle name="Normal 5 3 3 2 7 3" xfId="6467" xr:uid="{00000000-0005-0000-0000-0000C2190000}"/>
    <cellStyle name="Normal 5 3 3 2 7 3 2" xfId="14909" xr:uid="{5B6495B8-F223-464E-81C9-E41920E159DC}"/>
    <cellStyle name="Normal 5 3 3 2 7 4" xfId="10691" xr:uid="{1130E90D-30A9-4D55-9658-35DA98CDA095}"/>
    <cellStyle name="Normal 5 3 3 2 8" xfId="2596" xr:uid="{00000000-0005-0000-0000-0000C3190000}"/>
    <cellStyle name="Normal 5 3 3 2 8 2" xfId="6880" xr:uid="{00000000-0005-0000-0000-0000C4190000}"/>
    <cellStyle name="Normal 5 3 3 2 8 2 2" xfId="15322" xr:uid="{63A18020-BDAA-4006-AEDF-E4F4561A2D72}"/>
    <cellStyle name="Normal 5 3 3 2 8 3" xfId="11104" xr:uid="{8B7423EE-5248-40F5-B365-BDD929B7FB77}"/>
    <cellStyle name="Normal 5 3 3 2 9" xfId="4815" xr:uid="{00000000-0005-0000-0000-0000C5190000}"/>
    <cellStyle name="Normal 5 3 3 2 9 2" xfId="13257" xr:uid="{8E2C634A-2015-4ECF-AEB3-3EC39D6C6CEE}"/>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896A4A65-0A63-4A60-BF37-48302401079A}"/>
    <cellStyle name="Normal 5 3 3 3 2 2 2 3" xfId="11602" xr:uid="{676F73F2-05E6-457E-943C-A9AC5A52ECE7}"/>
    <cellStyle name="Normal 5 3 3 3 2 2 3" xfId="5233" xr:uid="{00000000-0005-0000-0000-0000CB190000}"/>
    <cellStyle name="Normal 5 3 3 3 2 2 3 2" xfId="13675" xr:uid="{E5A8A48B-A58A-4E1F-AD88-3C795882FC2B}"/>
    <cellStyle name="Normal 5 3 3 3 2 2 4" xfId="9457" xr:uid="{41F5A7A7-EF19-4671-B7EB-E57F70839B83}"/>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DD7A1AA6-5BFA-46CE-B0C6-BFA8A9E19543}"/>
    <cellStyle name="Normal 5 3 3 3 2 3 2 3" xfId="12015" xr:uid="{9CCCBE42-D275-4543-85C5-A64606F20D6D}"/>
    <cellStyle name="Normal 5 3 3 3 2 3 3" xfId="5646" xr:uid="{00000000-0005-0000-0000-0000CF190000}"/>
    <cellStyle name="Normal 5 3 3 3 2 3 3 2" xfId="14088" xr:uid="{3B1E507A-8DA2-49A4-B61B-D06C1838C3A5}"/>
    <cellStyle name="Normal 5 3 3 3 2 3 4" xfId="9870" xr:uid="{82FDB52E-52F7-4C81-911E-4453F71BD2F1}"/>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810F5454-CFAB-4DC8-94B6-9D6E85B7E474}"/>
    <cellStyle name="Normal 5 3 3 3 2 4 2 3" xfId="12428" xr:uid="{E675D1BE-0266-4AF8-915E-DB06A5506ACD}"/>
    <cellStyle name="Normal 5 3 3 3 2 4 3" xfId="6059" xr:uid="{00000000-0005-0000-0000-0000D3190000}"/>
    <cellStyle name="Normal 5 3 3 3 2 4 3 2" xfId="14501" xr:uid="{A9B12C70-8C94-4178-A0A0-D2E811830F73}"/>
    <cellStyle name="Normal 5 3 3 3 2 4 4" xfId="10283" xr:uid="{90FED6BB-6CEE-421E-AEEF-224C05FBD8E9}"/>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4F915C62-592F-48CC-B367-E3272D4BD82B}"/>
    <cellStyle name="Normal 5 3 3 3 2 5 2 3" xfId="12841" xr:uid="{1387DE47-E758-40F7-AFA8-588420817EBA}"/>
    <cellStyle name="Normal 5 3 3 3 2 5 3" xfId="6472" xr:uid="{00000000-0005-0000-0000-0000D7190000}"/>
    <cellStyle name="Normal 5 3 3 3 2 5 3 2" xfId="14914" xr:uid="{B084BAF0-3DD8-4721-92E3-DDAAF63311BA}"/>
    <cellStyle name="Normal 5 3 3 3 2 5 4" xfId="10696" xr:uid="{A63D67F0-F19B-40F0-B50B-C2EB670DFDFC}"/>
    <cellStyle name="Normal 5 3 3 3 2 6" xfId="2601" xr:uid="{00000000-0005-0000-0000-0000D8190000}"/>
    <cellStyle name="Normal 5 3 3 3 2 6 2" xfId="6885" xr:uid="{00000000-0005-0000-0000-0000D9190000}"/>
    <cellStyle name="Normal 5 3 3 3 2 6 2 2" xfId="15327" xr:uid="{9AC74A44-F952-4FAC-927F-FC047C2CB608}"/>
    <cellStyle name="Normal 5 3 3 3 2 6 3" xfId="11109" xr:uid="{FD287099-482E-4454-9FFB-D6B7F76CDF3C}"/>
    <cellStyle name="Normal 5 3 3 3 2 7" xfId="4820" xr:uid="{00000000-0005-0000-0000-0000DA190000}"/>
    <cellStyle name="Normal 5 3 3 3 2 7 2" xfId="13262" xr:uid="{52903EE1-653D-44DF-9C37-BEF8DB2AB718}"/>
    <cellStyle name="Normal 5 3 3 3 2 8" xfId="9044" xr:uid="{53B3C4B9-042B-45A6-BDF2-4088B161DF73}"/>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5C93D2F8-04F8-4171-9D9F-547F317B9217}"/>
    <cellStyle name="Normal 5 3 3 3 3 2 3" xfId="11601" xr:uid="{0BE4445D-16B1-44C5-B213-669053CEDCF2}"/>
    <cellStyle name="Normal 5 3 3 3 3 3" xfId="5232" xr:uid="{00000000-0005-0000-0000-0000DE190000}"/>
    <cellStyle name="Normal 5 3 3 3 3 3 2" xfId="13674" xr:uid="{18B251BB-392A-4B0B-BC3D-2B62A0ABA50B}"/>
    <cellStyle name="Normal 5 3 3 3 3 4" xfId="9456" xr:uid="{53DE284F-1344-4FB9-B503-4951689A98AA}"/>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E01E4D6E-FF7D-418B-876A-3F0FA3505E55}"/>
    <cellStyle name="Normal 5 3 3 3 4 2 3" xfId="12014" xr:uid="{6C617F8B-C746-4610-BA43-F365BBB116CF}"/>
    <cellStyle name="Normal 5 3 3 3 4 3" xfId="5645" xr:uid="{00000000-0005-0000-0000-0000E2190000}"/>
    <cellStyle name="Normal 5 3 3 3 4 3 2" xfId="14087" xr:uid="{79C0A646-71FB-40B7-8269-DAE741913DF8}"/>
    <cellStyle name="Normal 5 3 3 3 4 4" xfId="9869" xr:uid="{C5B79E6B-2736-4541-991E-071D0D4D30BD}"/>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97534F47-FD6B-4E8F-A607-36304F23F699}"/>
    <cellStyle name="Normal 5 3 3 3 5 2 3" xfId="12427" xr:uid="{814E6B66-488C-43D6-AEB2-E4D6043C3D52}"/>
    <cellStyle name="Normal 5 3 3 3 5 3" xfId="6058" xr:uid="{00000000-0005-0000-0000-0000E6190000}"/>
    <cellStyle name="Normal 5 3 3 3 5 3 2" xfId="14500" xr:uid="{0EA3C950-D396-4DDA-B436-750E7BEED455}"/>
    <cellStyle name="Normal 5 3 3 3 5 4" xfId="10282" xr:uid="{AF438DC9-3572-41EF-B8F1-E5593DE140BD}"/>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D4C2453B-97D8-4C51-B181-D204BEB4C18B}"/>
    <cellStyle name="Normal 5 3 3 3 6 2 3" xfId="12840" xr:uid="{C09D5439-6F14-484C-A030-69B6BDAA12C0}"/>
    <cellStyle name="Normal 5 3 3 3 6 3" xfId="6471" xr:uid="{00000000-0005-0000-0000-0000EA190000}"/>
    <cellStyle name="Normal 5 3 3 3 6 3 2" xfId="14913" xr:uid="{DDE44A86-A1A5-4EB7-8ED1-13A50A8AA9D9}"/>
    <cellStyle name="Normal 5 3 3 3 6 4" xfId="10695" xr:uid="{0048677D-8863-4AB8-A960-077DEC9195C1}"/>
    <cellStyle name="Normal 5 3 3 3 7" xfId="2600" xr:uid="{00000000-0005-0000-0000-0000EB190000}"/>
    <cellStyle name="Normal 5 3 3 3 7 2" xfId="6884" xr:uid="{00000000-0005-0000-0000-0000EC190000}"/>
    <cellStyle name="Normal 5 3 3 3 7 2 2" xfId="15326" xr:uid="{E3946661-72B3-4223-92CD-06A27E6952DA}"/>
    <cellStyle name="Normal 5 3 3 3 7 3" xfId="11108" xr:uid="{54D15BFE-8F6B-4BB7-A51F-9B505CBA4BD8}"/>
    <cellStyle name="Normal 5 3 3 3 8" xfId="4819" xr:uid="{00000000-0005-0000-0000-0000ED190000}"/>
    <cellStyle name="Normal 5 3 3 3 8 2" xfId="13261" xr:uid="{C5A94813-A26F-4416-8F3D-F6E78B2D917B}"/>
    <cellStyle name="Normal 5 3 3 3 9" xfId="9043" xr:uid="{523EFB17-4234-4F27-B8C5-7D612C56017E}"/>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89357205-6CCF-4DD0-A6CC-6BB41584CE40}"/>
    <cellStyle name="Normal 5 3 3 4 2 2 3" xfId="11603" xr:uid="{4EDB1C6F-7CB7-45B5-AC8A-FA1041EB6D31}"/>
    <cellStyle name="Normal 5 3 3 4 2 3" xfId="5234" xr:uid="{00000000-0005-0000-0000-0000F2190000}"/>
    <cellStyle name="Normal 5 3 3 4 2 3 2" xfId="13676" xr:uid="{F23BD23F-89E6-4B2B-ABB2-892B91848E8F}"/>
    <cellStyle name="Normal 5 3 3 4 2 4" xfId="9458" xr:uid="{F650BE2C-6E82-4879-B6F1-F00AFE3654FB}"/>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9C435DB0-9544-4A8D-B979-EEF449FDE054}"/>
    <cellStyle name="Normal 5 3 3 4 3 2 3" xfId="12016" xr:uid="{D15CD063-E1CC-4ABB-9244-0AC9573B455B}"/>
    <cellStyle name="Normal 5 3 3 4 3 3" xfId="5647" xr:uid="{00000000-0005-0000-0000-0000F6190000}"/>
    <cellStyle name="Normal 5 3 3 4 3 3 2" xfId="14089" xr:uid="{7F0E8A8A-3612-4C0E-BE8A-8E1CC53F8A86}"/>
    <cellStyle name="Normal 5 3 3 4 3 4" xfId="9871" xr:uid="{7B03C518-FC0B-414D-8E94-3AA74A6E2617}"/>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94F6BF2E-E5AA-4B33-A262-C7AA27684F81}"/>
    <cellStyle name="Normal 5 3 3 4 4 2 3" xfId="12429" xr:uid="{DBBFE558-EE3B-44AC-AA59-39FCA74E66CD}"/>
    <cellStyle name="Normal 5 3 3 4 4 3" xfId="6060" xr:uid="{00000000-0005-0000-0000-0000FA190000}"/>
    <cellStyle name="Normal 5 3 3 4 4 3 2" xfId="14502" xr:uid="{9F614F97-79AA-40D3-9391-22F88F4ACD18}"/>
    <cellStyle name="Normal 5 3 3 4 4 4" xfId="10284" xr:uid="{DAA9A49E-553B-40B1-BB61-8881C15EC53A}"/>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559F00F2-23F6-49CA-B584-AB9DB937CE5D}"/>
    <cellStyle name="Normal 5 3 3 4 5 2 3" xfId="12842" xr:uid="{5217BB29-39A8-43EC-9235-86A4B3B7EAD2}"/>
    <cellStyle name="Normal 5 3 3 4 5 3" xfId="6473" xr:uid="{00000000-0005-0000-0000-0000FE190000}"/>
    <cellStyle name="Normal 5 3 3 4 5 3 2" xfId="14915" xr:uid="{92981529-FBBF-473D-8B56-6A7C54EEE2C0}"/>
    <cellStyle name="Normal 5 3 3 4 5 4" xfId="10697" xr:uid="{D0774C6A-3D97-48C8-A2A3-165E00B9B161}"/>
    <cellStyle name="Normal 5 3 3 4 6" xfId="2602" xr:uid="{00000000-0005-0000-0000-0000FF190000}"/>
    <cellStyle name="Normal 5 3 3 4 6 2" xfId="6886" xr:uid="{00000000-0005-0000-0000-0000001A0000}"/>
    <cellStyle name="Normal 5 3 3 4 6 2 2" xfId="15328" xr:uid="{9766E12C-CFE3-49A7-89F0-8D971D6EABBA}"/>
    <cellStyle name="Normal 5 3 3 4 6 3" xfId="11110" xr:uid="{457978D7-B78D-4A20-9AB5-9CB92ED149E2}"/>
    <cellStyle name="Normal 5 3 3 4 7" xfId="4821" xr:uid="{00000000-0005-0000-0000-0000011A0000}"/>
    <cellStyle name="Normal 5 3 3 4 7 2" xfId="13263" xr:uid="{2D9ACFA1-12C8-4E4F-B702-60428CF41FE7}"/>
    <cellStyle name="Normal 5 3 3 4 8" xfId="9045" xr:uid="{EF54FA69-77A9-4129-95FD-2FD0E8E43379}"/>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D4EC5F2B-6288-4168-9D0F-CE98CE1813E0}"/>
    <cellStyle name="Normal 5 3 3 5 2 3" xfId="11596" xr:uid="{A1E81B29-C154-4A06-9AB8-0F33287E0270}"/>
    <cellStyle name="Normal 5 3 3 5 3" xfId="5227" xr:uid="{00000000-0005-0000-0000-0000051A0000}"/>
    <cellStyle name="Normal 5 3 3 5 3 2" xfId="13669" xr:uid="{B065D073-A0A4-44E7-AC36-225D20A2F1AE}"/>
    <cellStyle name="Normal 5 3 3 5 4" xfId="9451" xr:uid="{5BB428BC-D009-4F7E-ABD6-0583F8717816}"/>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88DFB103-D8C3-491A-98A3-5B44F7B87BD4}"/>
    <cellStyle name="Normal 5 3 3 6 2 3" xfId="12009" xr:uid="{02F7E675-C281-4F94-9C93-AC49AB4B3B1C}"/>
    <cellStyle name="Normal 5 3 3 6 3" xfId="5640" xr:uid="{00000000-0005-0000-0000-0000091A0000}"/>
    <cellStyle name="Normal 5 3 3 6 3 2" xfId="14082" xr:uid="{3CD3CEEF-7E0C-44ED-B3DA-BBE20F78C7F6}"/>
    <cellStyle name="Normal 5 3 3 6 4" xfId="9864" xr:uid="{4F7F1827-3DB7-49E2-8B01-E0BB787B3487}"/>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F6C119BD-C6CF-4AB3-9D04-A8C1218832A3}"/>
    <cellStyle name="Normal 5 3 3 7 2 3" xfId="12422" xr:uid="{A17A76A0-6B9A-45E1-9FF2-2E44FCE6C536}"/>
    <cellStyle name="Normal 5 3 3 7 3" xfId="6053" xr:uid="{00000000-0005-0000-0000-00000D1A0000}"/>
    <cellStyle name="Normal 5 3 3 7 3 2" xfId="14495" xr:uid="{C0A036DC-DAE2-480A-8C89-A9C566909E6C}"/>
    <cellStyle name="Normal 5 3 3 7 4" xfId="10277" xr:uid="{5E1C718F-4DF9-4EB8-A259-E3C7E31A5AAA}"/>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7EA6005C-FEB2-4C97-B240-85B8EB41F176}"/>
    <cellStyle name="Normal 5 3 3 8 2 3" xfId="12835" xr:uid="{58CCC910-23EC-46DD-964C-490C50CA9506}"/>
    <cellStyle name="Normal 5 3 3 8 3" xfId="6466" xr:uid="{00000000-0005-0000-0000-0000111A0000}"/>
    <cellStyle name="Normal 5 3 3 8 3 2" xfId="14908" xr:uid="{49F104F5-C300-462A-B92B-255B5DA6DCD4}"/>
    <cellStyle name="Normal 5 3 3 8 4" xfId="10690" xr:uid="{8D0E7590-A6B4-4B53-AF8F-A434C37BFCB0}"/>
    <cellStyle name="Normal 5 3 3 9" xfId="2595" xr:uid="{00000000-0005-0000-0000-0000121A0000}"/>
    <cellStyle name="Normal 5 3 3 9 2" xfId="6879" xr:uid="{00000000-0005-0000-0000-0000131A0000}"/>
    <cellStyle name="Normal 5 3 3 9 2 2" xfId="15321" xr:uid="{44AD3BE8-436F-4409-9503-8163F7A578C6}"/>
    <cellStyle name="Normal 5 3 3 9 3" xfId="11103" xr:uid="{D661ECAC-DC54-4DE1-A1CF-A66AFA300AEB}"/>
    <cellStyle name="Normal 5 3 4" xfId="449" xr:uid="{00000000-0005-0000-0000-0000141A0000}"/>
    <cellStyle name="Normal 5 3 4 10" xfId="9046" xr:uid="{86AA9C9D-8BD8-4B8E-879C-8C3DE7C6C26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4E3431D8-3CD3-4130-9C98-89DD541F0122}"/>
    <cellStyle name="Normal 5 3 4 2 2 2 2 3" xfId="11606" xr:uid="{29C8AA19-CB6B-41EF-B685-ACB23849EAA4}"/>
    <cellStyle name="Normal 5 3 4 2 2 2 3" xfId="5237" xr:uid="{00000000-0005-0000-0000-00001A1A0000}"/>
    <cellStyle name="Normal 5 3 4 2 2 2 3 2" xfId="13679" xr:uid="{555C5ECE-4AB2-4EA2-804B-FFCB32B5F35B}"/>
    <cellStyle name="Normal 5 3 4 2 2 2 4" xfId="9461" xr:uid="{F887DC45-845E-4635-9CDE-B81AF5614372}"/>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4A1CF541-3A7B-4BC7-A3EE-8B79BD14AE54}"/>
    <cellStyle name="Normal 5 3 4 2 2 3 2 3" xfId="12019" xr:uid="{225F5071-ADBA-4EB1-B81A-168568356C58}"/>
    <cellStyle name="Normal 5 3 4 2 2 3 3" xfId="5650" xr:uid="{00000000-0005-0000-0000-00001E1A0000}"/>
    <cellStyle name="Normal 5 3 4 2 2 3 3 2" xfId="14092" xr:uid="{5D4ED999-BC25-4D15-B0E2-07990C4EE65D}"/>
    <cellStyle name="Normal 5 3 4 2 2 3 4" xfId="9874" xr:uid="{07145603-88B0-46CC-8F3A-E0EB55F816D8}"/>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E80F36D1-BE8B-4E8D-A76A-3493949416A8}"/>
    <cellStyle name="Normal 5 3 4 2 2 4 2 3" xfId="12432" xr:uid="{C0453EC6-C3D5-4A22-B601-1DE42E6D8DF3}"/>
    <cellStyle name="Normal 5 3 4 2 2 4 3" xfId="6063" xr:uid="{00000000-0005-0000-0000-0000221A0000}"/>
    <cellStyle name="Normal 5 3 4 2 2 4 3 2" xfId="14505" xr:uid="{975F7EFB-858E-4935-8678-1ABEEEA276E4}"/>
    <cellStyle name="Normal 5 3 4 2 2 4 4" xfId="10287" xr:uid="{4CA76ADF-8FC1-470C-840A-A8FE6397855A}"/>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D067B546-E2C8-44BD-BA82-5A5CD50B4606}"/>
    <cellStyle name="Normal 5 3 4 2 2 5 2 3" xfId="12845" xr:uid="{3A70BE6B-10A5-4340-A655-633F49284028}"/>
    <cellStyle name="Normal 5 3 4 2 2 5 3" xfId="6476" xr:uid="{00000000-0005-0000-0000-0000261A0000}"/>
    <cellStyle name="Normal 5 3 4 2 2 5 3 2" xfId="14918" xr:uid="{10CCBF2B-37A7-4FAC-A564-2DFB00A4AD92}"/>
    <cellStyle name="Normal 5 3 4 2 2 5 4" xfId="10700" xr:uid="{A899510B-0F05-417D-86C6-673128C471B1}"/>
    <cellStyle name="Normal 5 3 4 2 2 6" xfId="2605" xr:uid="{00000000-0005-0000-0000-0000271A0000}"/>
    <cellStyle name="Normal 5 3 4 2 2 6 2" xfId="6889" xr:uid="{00000000-0005-0000-0000-0000281A0000}"/>
    <cellStyle name="Normal 5 3 4 2 2 6 2 2" xfId="15331" xr:uid="{C027E15B-2377-4ABB-9681-F8C2B7C9043F}"/>
    <cellStyle name="Normal 5 3 4 2 2 6 3" xfId="11113" xr:uid="{58A682DB-4249-4CD3-8E6B-0B5C075AEBEE}"/>
    <cellStyle name="Normal 5 3 4 2 2 7" xfId="4824" xr:uid="{00000000-0005-0000-0000-0000291A0000}"/>
    <cellStyle name="Normal 5 3 4 2 2 7 2" xfId="13266" xr:uid="{991A7534-C56B-403A-8538-2624A4121041}"/>
    <cellStyle name="Normal 5 3 4 2 2 8" xfId="9048" xr:uid="{C249B195-28DE-4E90-9CF5-DED3FEAA52CC}"/>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8927CB1E-9DDD-4A07-8CE7-3DDD3B5B47DE}"/>
    <cellStyle name="Normal 5 3 4 2 3 2 3" xfId="11605" xr:uid="{35D6187B-2AD8-4E84-A860-CE6D861E95A8}"/>
    <cellStyle name="Normal 5 3 4 2 3 3" xfId="5236" xr:uid="{00000000-0005-0000-0000-00002D1A0000}"/>
    <cellStyle name="Normal 5 3 4 2 3 3 2" xfId="13678" xr:uid="{F520B4DF-AD66-4641-A859-1FC6510BFC32}"/>
    <cellStyle name="Normal 5 3 4 2 3 4" xfId="9460" xr:uid="{B3CA5F6E-D98B-4D61-A81F-44D181B8C5A3}"/>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3E734787-A112-4437-A978-474B9FF756AA}"/>
    <cellStyle name="Normal 5 3 4 2 4 2 3" xfId="12018" xr:uid="{EEFEB0A0-0563-4D4D-B8D0-58043B928357}"/>
    <cellStyle name="Normal 5 3 4 2 4 3" xfId="5649" xr:uid="{00000000-0005-0000-0000-0000311A0000}"/>
    <cellStyle name="Normal 5 3 4 2 4 3 2" xfId="14091" xr:uid="{2B559509-877D-469B-ACE6-412789B200E4}"/>
    <cellStyle name="Normal 5 3 4 2 4 4" xfId="9873" xr:uid="{C6DC1701-C338-4224-A89D-EC9176A786CA}"/>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B4536B71-0CEA-4D20-B05A-3AD41304154C}"/>
    <cellStyle name="Normal 5 3 4 2 5 2 3" xfId="12431" xr:uid="{B6E01F36-83C6-482E-B560-19BA3E897D84}"/>
    <cellStyle name="Normal 5 3 4 2 5 3" xfId="6062" xr:uid="{00000000-0005-0000-0000-0000351A0000}"/>
    <cellStyle name="Normal 5 3 4 2 5 3 2" xfId="14504" xr:uid="{3ACFA331-47F0-48EF-88EA-C47E9E83937B}"/>
    <cellStyle name="Normal 5 3 4 2 5 4" xfId="10286" xr:uid="{9EAE8CE9-6CFC-4CB8-A38C-2C0A10214F26}"/>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4834920C-C93D-4E6A-957E-1F2CC96CEE44}"/>
    <cellStyle name="Normal 5 3 4 2 6 2 3" xfId="12844" xr:uid="{C8D373A8-E316-4DB2-AA51-3BC5EE8B0FCF}"/>
    <cellStyle name="Normal 5 3 4 2 6 3" xfId="6475" xr:uid="{00000000-0005-0000-0000-0000391A0000}"/>
    <cellStyle name="Normal 5 3 4 2 6 3 2" xfId="14917" xr:uid="{193FC0B0-3F97-4150-A4A9-7F4F1E489D81}"/>
    <cellStyle name="Normal 5 3 4 2 6 4" xfId="10699" xr:uid="{9B829A3D-4786-48F6-B3EB-CFBA0B71F12E}"/>
    <cellStyle name="Normal 5 3 4 2 7" xfId="2604" xr:uid="{00000000-0005-0000-0000-00003A1A0000}"/>
    <cellStyle name="Normal 5 3 4 2 7 2" xfId="6888" xr:uid="{00000000-0005-0000-0000-00003B1A0000}"/>
    <cellStyle name="Normal 5 3 4 2 7 2 2" xfId="15330" xr:uid="{D3347EC0-77F6-4165-B2C9-2467FD388164}"/>
    <cellStyle name="Normal 5 3 4 2 7 3" xfId="11112" xr:uid="{449A2D4B-AA7E-4C53-9E33-3F2D42612E7A}"/>
    <cellStyle name="Normal 5 3 4 2 8" xfId="4823" xr:uid="{00000000-0005-0000-0000-00003C1A0000}"/>
    <cellStyle name="Normal 5 3 4 2 8 2" xfId="13265" xr:uid="{77E477D6-9033-4BBD-8427-329CCF43A932}"/>
    <cellStyle name="Normal 5 3 4 2 9" xfId="9047" xr:uid="{1973FEFF-856E-4597-941A-DA59CA20F3AB}"/>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EEE37744-6C8D-47DA-9414-89FA4D20BA6B}"/>
    <cellStyle name="Normal 5 3 4 3 2 2 3" xfId="11607" xr:uid="{25C984DD-4B45-4F07-895D-808E29DFA232}"/>
    <cellStyle name="Normal 5 3 4 3 2 3" xfId="5238" xr:uid="{00000000-0005-0000-0000-0000411A0000}"/>
    <cellStyle name="Normal 5 3 4 3 2 3 2" xfId="13680" xr:uid="{159A255D-9111-4616-927C-475A583F9418}"/>
    <cellStyle name="Normal 5 3 4 3 2 4" xfId="9462" xr:uid="{19F1E381-C21F-4B87-AB68-913A3EE6CEDA}"/>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35E848E8-4F63-4AB1-869A-BB26ED3F8B7A}"/>
    <cellStyle name="Normal 5 3 4 3 3 2 3" xfId="12020" xr:uid="{BC0E43D3-4901-41B8-A7A2-EFEDF81D60A1}"/>
    <cellStyle name="Normal 5 3 4 3 3 3" xfId="5651" xr:uid="{00000000-0005-0000-0000-0000451A0000}"/>
    <cellStyle name="Normal 5 3 4 3 3 3 2" xfId="14093" xr:uid="{0F5A64C5-5E04-4FC5-B178-ED9F2A623C3D}"/>
    <cellStyle name="Normal 5 3 4 3 3 4" xfId="9875" xr:uid="{6C723C85-98F2-4CC1-84A3-18CB0B3BA2EA}"/>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CFB404A7-9CD4-4718-ACC1-4A9C91596654}"/>
    <cellStyle name="Normal 5 3 4 3 4 2 3" xfId="12433" xr:uid="{D553ECEF-0FC2-40A5-B4ED-F4071B89558E}"/>
    <cellStyle name="Normal 5 3 4 3 4 3" xfId="6064" xr:uid="{00000000-0005-0000-0000-0000491A0000}"/>
    <cellStyle name="Normal 5 3 4 3 4 3 2" xfId="14506" xr:uid="{FBF117E8-38D6-4D00-B9B3-348769101918}"/>
    <cellStyle name="Normal 5 3 4 3 4 4" xfId="10288" xr:uid="{B9ECC990-1922-4B6D-B204-DF10F9D90FFA}"/>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B565D589-191B-40AD-BE77-C239CFA54102}"/>
    <cellStyle name="Normal 5 3 4 3 5 2 3" xfId="12846" xr:uid="{B5922A7E-9DDE-4935-9B41-855CEA17F1C9}"/>
    <cellStyle name="Normal 5 3 4 3 5 3" xfId="6477" xr:uid="{00000000-0005-0000-0000-00004D1A0000}"/>
    <cellStyle name="Normal 5 3 4 3 5 3 2" xfId="14919" xr:uid="{EF034009-598E-42C7-9F37-09E88C630E73}"/>
    <cellStyle name="Normal 5 3 4 3 5 4" xfId="10701" xr:uid="{B7A8EB4F-10F0-4010-818D-92A06FA40C07}"/>
    <cellStyle name="Normal 5 3 4 3 6" xfId="2606" xr:uid="{00000000-0005-0000-0000-00004E1A0000}"/>
    <cellStyle name="Normal 5 3 4 3 6 2" xfId="6890" xr:uid="{00000000-0005-0000-0000-00004F1A0000}"/>
    <cellStyle name="Normal 5 3 4 3 6 2 2" xfId="15332" xr:uid="{7395787D-AA22-4718-9A20-B6362B330348}"/>
    <cellStyle name="Normal 5 3 4 3 6 3" xfId="11114" xr:uid="{B981BAB8-F88C-43F8-87EB-E072A8D555C5}"/>
    <cellStyle name="Normal 5 3 4 3 7" xfId="4825" xr:uid="{00000000-0005-0000-0000-0000501A0000}"/>
    <cellStyle name="Normal 5 3 4 3 7 2" xfId="13267" xr:uid="{FAB10A93-AB7A-4CC5-B104-838EC3F2028A}"/>
    <cellStyle name="Normal 5 3 4 3 8" xfId="9049" xr:uid="{E42A33D3-7E26-4919-9158-AD66B0ED47C8}"/>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B82B80F2-5A6A-4600-BECE-66E22B53CCC1}"/>
    <cellStyle name="Normal 5 3 4 4 2 3" xfId="11604" xr:uid="{D354A3E1-3658-4518-9F8E-0DA3846CB275}"/>
    <cellStyle name="Normal 5 3 4 4 3" xfId="5235" xr:uid="{00000000-0005-0000-0000-0000541A0000}"/>
    <cellStyle name="Normal 5 3 4 4 3 2" xfId="13677" xr:uid="{8A566E72-8A96-494B-BF4B-3758102D8451}"/>
    <cellStyle name="Normal 5 3 4 4 4" xfId="9459" xr:uid="{CCE36393-E88B-4F81-9B77-12ADD8FE3658}"/>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DF993BBE-B390-49F0-9CAE-414A6121F76B}"/>
    <cellStyle name="Normal 5 3 4 5 2 3" xfId="12017" xr:uid="{6D448D9E-CE69-4B8F-BFE5-9185D1909A11}"/>
    <cellStyle name="Normal 5 3 4 5 3" xfId="5648" xr:uid="{00000000-0005-0000-0000-0000581A0000}"/>
    <cellStyle name="Normal 5 3 4 5 3 2" xfId="14090" xr:uid="{90F9D1A2-B675-4AC5-8334-1B8B3AFB0584}"/>
    <cellStyle name="Normal 5 3 4 5 4" xfId="9872" xr:uid="{646F4EC9-8423-4B3A-A1F4-E0AB4ACD0947}"/>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A0C6C71D-54C5-4EE0-A6C7-CAE5FA0C9DAB}"/>
    <cellStyle name="Normal 5 3 4 6 2 3" xfId="12430" xr:uid="{2A6621AD-1D4B-41A6-853B-2D2E7D0662F5}"/>
    <cellStyle name="Normal 5 3 4 6 3" xfId="6061" xr:uid="{00000000-0005-0000-0000-00005C1A0000}"/>
    <cellStyle name="Normal 5 3 4 6 3 2" xfId="14503" xr:uid="{86A88BB5-0D14-407B-98CC-AC2F419D974A}"/>
    <cellStyle name="Normal 5 3 4 6 4" xfId="10285" xr:uid="{410BD5C3-51C0-4D98-9F69-4489E77DD4BE}"/>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6C5A128E-C586-4305-B777-B9F873641B56}"/>
    <cellStyle name="Normal 5 3 4 7 2 3" xfId="12843" xr:uid="{2BE040A1-D928-4315-84A5-B28D3ACD9295}"/>
    <cellStyle name="Normal 5 3 4 7 3" xfId="6474" xr:uid="{00000000-0005-0000-0000-0000601A0000}"/>
    <cellStyle name="Normal 5 3 4 7 3 2" xfId="14916" xr:uid="{2A98503F-0251-4B8E-B99C-FEA37280AF2B}"/>
    <cellStyle name="Normal 5 3 4 7 4" xfId="10698" xr:uid="{E09C48CD-045C-4561-BCD4-1AD1825A71A7}"/>
    <cellStyle name="Normal 5 3 4 8" xfId="2603" xr:uid="{00000000-0005-0000-0000-0000611A0000}"/>
    <cellStyle name="Normal 5 3 4 8 2" xfId="6887" xr:uid="{00000000-0005-0000-0000-0000621A0000}"/>
    <cellStyle name="Normal 5 3 4 8 2 2" xfId="15329" xr:uid="{0C4E344E-CDD9-4372-86AF-FAFC62FCC963}"/>
    <cellStyle name="Normal 5 3 4 8 3" xfId="11111" xr:uid="{006AD18D-2B21-4E54-AA39-2DDEABD2AA0A}"/>
    <cellStyle name="Normal 5 3 4 9" xfId="4822" xr:uid="{00000000-0005-0000-0000-0000631A0000}"/>
    <cellStyle name="Normal 5 3 4 9 2" xfId="13264" xr:uid="{951D0CDA-A61E-4C0C-82A0-1474D7BB246E}"/>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078F7231-D37E-4D3B-ACF7-55C8BA0783FE}"/>
    <cellStyle name="Normal 5 3 5 2 2 2 3" xfId="11609" xr:uid="{3F8EFD76-D3C6-43EA-AF1F-B96B6E50A91C}"/>
    <cellStyle name="Normal 5 3 5 2 2 3" xfId="5240" xr:uid="{00000000-0005-0000-0000-0000691A0000}"/>
    <cellStyle name="Normal 5 3 5 2 2 3 2" xfId="13682" xr:uid="{10D22F0D-FC60-42D6-8B00-30FD884953BA}"/>
    <cellStyle name="Normal 5 3 5 2 2 4" xfId="9464" xr:uid="{7A0BA110-27BB-4590-A158-23237913E3A7}"/>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E0E30952-F510-4138-949C-4DB925CD243B}"/>
    <cellStyle name="Normal 5 3 5 2 3 2 3" xfId="12022" xr:uid="{3ECF47B9-755B-4C64-8A50-C88C808A109B}"/>
    <cellStyle name="Normal 5 3 5 2 3 3" xfId="5653" xr:uid="{00000000-0005-0000-0000-00006D1A0000}"/>
    <cellStyle name="Normal 5 3 5 2 3 3 2" xfId="14095" xr:uid="{841D6314-297A-4F21-9A47-551752B7871F}"/>
    <cellStyle name="Normal 5 3 5 2 3 4" xfId="9877" xr:uid="{1951CF10-4CAF-4337-BB04-11394A330EB1}"/>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6D68940C-2BA8-4A92-9877-9DACDE7451C6}"/>
    <cellStyle name="Normal 5 3 5 2 4 2 3" xfId="12435" xr:uid="{2E96AC99-5856-49A9-8B18-39D376386EBF}"/>
    <cellStyle name="Normal 5 3 5 2 4 3" xfId="6066" xr:uid="{00000000-0005-0000-0000-0000711A0000}"/>
    <cellStyle name="Normal 5 3 5 2 4 3 2" xfId="14508" xr:uid="{FD142A4B-49B8-4001-AB06-187FB0A819B9}"/>
    <cellStyle name="Normal 5 3 5 2 4 4" xfId="10290" xr:uid="{F60154F0-FF7A-4272-AC29-37A5EFFFAC29}"/>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2C8ABA94-7E17-442C-B13B-A789FB7FDA5D}"/>
    <cellStyle name="Normal 5 3 5 2 5 2 3" xfId="12848" xr:uid="{FC469A68-2429-40C7-9941-C4B7F0025E15}"/>
    <cellStyle name="Normal 5 3 5 2 5 3" xfId="6479" xr:uid="{00000000-0005-0000-0000-0000751A0000}"/>
    <cellStyle name="Normal 5 3 5 2 5 3 2" xfId="14921" xr:uid="{E6CCD19D-F339-48DD-9484-97A28789BBAE}"/>
    <cellStyle name="Normal 5 3 5 2 5 4" xfId="10703" xr:uid="{1BB80A31-F3E0-4427-AC60-E6823A5BFF46}"/>
    <cellStyle name="Normal 5 3 5 2 6" xfId="2608" xr:uid="{00000000-0005-0000-0000-0000761A0000}"/>
    <cellStyle name="Normal 5 3 5 2 6 2" xfId="6892" xr:uid="{00000000-0005-0000-0000-0000771A0000}"/>
    <cellStyle name="Normal 5 3 5 2 6 2 2" xfId="15334" xr:uid="{C579FEAF-9758-48C6-A421-C2535A94201C}"/>
    <cellStyle name="Normal 5 3 5 2 6 3" xfId="11116" xr:uid="{3B782909-3E9A-4FFE-BF85-5C3EDDEFC63C}"/>
    <cellStyle name="Normal 5 3 5 2 7" xfId="4827" xr:uid="{00000000-0005-0000-0000-0000781A0000}"/>
    <cellStyle name="Normal 5 3 5 2 7 2" xfId="13269" xr:uid="{B21DD600-50F3-44F5-8CA1-1683438BADBA}"/>
    <cellStyle name="Normal 5 3 5 2 8" xfId="9051" xr:uid="{B43D9A0A-D571-42DF-8FC5-CB4D3D4E6B23}"/>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3D784934-2278-4C11-82A6-8DD1E0BE68CF}"/>
    <cellStyle name="Normal 5 3 5 3 2 3" xfId="11608" xr:uid="{5620A607-BF7A-46C5-B383-18D4D58C80B5}"/>
    <cellStyle name="Normal 5 3 5 3 3" xfId="5239" xr:uid="{00000000-0005-0000-0000-00007C1A0000}"/>
    <cellStyle name="Normal 5 3 5 3 3 2" xfId="13681" xr:uid="{0D6AF13F-2C1E-4AD6-AB2B-88500D0DF473}"/>
    <cellStyle name="Normal 5 3 5 3 4" xfId="9463" xr:uid="{5E6112C4-36FE-422D-8794-B265ABB0FB8F}"/>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57746307-1DBB-4CDF-AB3E-CE4A02ACB8D9}"/>
    <cellStyle name="Normal 5 3 5 4 2 3" xfId="12021" xr:uid="{FF193BC3-A0AA-48A4-AA5D-438D118A0C11}"/>
    <cellStyle name="Normal 5 3 5 4 3" xfId="5652" xr:uid="{00000000-0005-0000-0000-0000801A0000}"/>
    <cellStyle name="Normal 5 3 5 4 3 2" xfId="14094" xr:uid="{421D6362-D638-460A-85C6-2D78464E9373}"/>
    <cellStyle name="Normal 5 3 5 4 4" xfId="9876" xr:uid="{84A9AB6C-8338-4C7B-8888-8AD8D15EF1B0}"/>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D1E98817-B0F9-4C23-B7D6-5C34C9BAD7DA}"/>
    <cellStyle name="Normal 5 3 5 5 2 3" xfId="12434" xr:uid="{EE2E2616-C610-4B74-80D8-018F8617E288}"/>
    <cellStyle name="Normal 5 3 5 5 3" xfId="6065" xr:uid="{00000000-0005-0000-0000-0000841A0000}"/>
    <cellStyle name="Normal 5 3 5 5 3 2" xfId="14507" xr:uid="{C2F689EC-A3BA-4FDC-80E5-E6100C672C1E}"/>
    <cellStyle name="Normal 5 3 5 5 4" xfId="10289" xr:uid="{9DEB66C1-333C-412D-A1E4-E108CC946B5B}"/>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940575AA-7325-46CB-96B8-A2A0995F5C78}"/>
    <cellStyle name="Normal 5 3 5 6 2 3" xfId="12847" xr:uid="{092B5BCC-284E-4F18-900C-6BCFB8489037}"/>
    <cellStyle name="Normal 5 3 5 6 3" xfId="6478" xr:uid="{00000000-0005-0000-0000-0000881A0000}"/>
    <cellStyle name="Normal 5 3 5 6 3 2" xfId="14920" xr:uid="{DF474669-011A-4D9A-87F4-2F424D3D2569}"/>
    <cellStyle name="Normal 5 3 5 6 4" xfId="10702" xr:uid="{FFF20C7A-9136-4CBC-AF54-41CAF6C20F86}"/>
    <cellStyle name="Normal 5 3 5 7" xfId="2607" xr:uid="{00000000-0005-0000-0000-0000891A0000}"/>
    <cellStyle name="Normal 5 3 5 7 2" xfId="6891" xr:uid="{00000000-0005-0000-0000-00008A1A0000}"/>
    <cellStyle name="Normal 5 3 5 7 2 2" xfId="15333" xr:uid="{E87D0E72-B8FC-46F2-83D5-0BB698938E63}"/>
    <cellStyle name="Normal 5 3 5 7 3" xfId="11115" xr:uid="{F0C2C4EB-D6D0-4779-ACC4-5E9DB3FB836F}"/>
    <cellStyle name="Normal 5 3 5 8" xfId="4826" xr:uid="{00000000-0005-0000-0000-00008B1A0000}"/>
    <cellStyle name="Normal 5 3 5 8 2" xfId="13268" xr:uid="{4399265D-529E-4406-86EF-F86D35771CC4}"/>
    <cellStyle name="Normal 5 3 5 9" xfId="9050" xr:uid="{8605D183-9110-47F6-8611-8C14C6149442}"/>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65DC5016-88AD-49CB-96D9-CDF7FAAB5D9B}"/>
    <cellStyle name="Normal 5 3 6 2 2 3" xfId="11610" xr:uid="{ABDAAA79-FD66-4E8A-827C-84294768EA1B}"/>
    <cellStyle name="Normal 5 3 6 2 3" xfId="5241" xr:uid="{00000000-0005-0000-0000-0000901A0000}"/>
    <cellStyle name="Normal 5 3 6 2 3 2" xfId="13683" xr:uid="{DD8527B9-F1CF-437F-B9E4-FFCA10C97FE8}"/>
    <cellStyle name="Normal 5 3 6 2 4" xfId="9465" xr:uid="{0C12798B-F607-490C-952E-BEDF5B03469E}"/>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9340B567-9211-4C8E-9867-9AAC4E4BBBBB}"/>
    <cellStyle name="Normal 5 3 6 3 2 3" xfId="12023" xr:uid="{11EF96FE-D2EE-4E33-90EC-6094B7C18BD8}"/>
    <cellStyle name="Normal 5 3 6 3 3" xfId="5654" xr:uid="{00000000-0005-0000-0000-0000941A0000}"/>
    <cellStyle name="Normal 5 3 6 3 3 2" xfId="14096" xr:uid="{A12EF5E2-C287-44F3-8CC6-F6348D7A41A0}"/>
    <cellStyle name="Normal 5 3 6 3 4" xfId="9878" xr:uid="{3B00C133-6FDA-455F-85C8-20420EECACA0}"/>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22201EA0-6234-47B2-9002-E04A3D629E6E}"/>
    <cellStyle name="Normal 5 3 6 4 2 3" xfId="12436" xr:uid="{11286FD3-8461-408C-983D-480B3E7DA529}"/>
    <cellStyle name="Normal 5 3 6 4 3" xfId="6067" xr:uid="{00000000-0005-0000-0000-0000981A0000}"/>
    <cellStyle name="Normal 5 3 6 4 3 2" xfId="14509" xr:uid="{03E8A54E-A24F-412D-AF5F-27DA2C38A92B}"/>
    <cellStyle name="Normal 5 3 6 4 4" xfId="10291" xr:uid="{71B29D37-5C11-4DE0-B899-DFF4493FF337}"/>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13C6D7AF-ADF9-481C-980B-4C2464F34450}"/>
    <cellStyle name="Normal 5 3 6 5 2 3" xfId="12849" xr:uid="{79739559-A7A9-4AA6-B8D7-043D623099BB}"/>
    <cellStyle name="Normal 5 3 6 5 3" xfId="6480" xr:uid="{00000000-0005-0000-0000-00009C1A0000}"/>
    <cellStyle name="Normal 5 3 6 5 3 2" xfId="14922" xr:uid="{949E32BC-D995-4D74-9324-8F65495DF0F3}"/>
    <cellStyle name="Normal 5 3 6 5 4" xfId="10704" xr:uid="{DD05F66A-8579-4C97-AF89-F199137B3720}"/>
    <cellStyle name="Normal 5 3 6 6" xfId="2609" xr:uid="{00000000-0005-0000-0000-00009D1A0000}"/>
    <cellStyle name="Normal 5 3 6 6 2" xfId="6893" xr:uid="{00000000-0005-0000-0000-00009E1A0000}"/>
    <cellStyle name="Normal 5 3 6 6 2 2" xfId="15335" xr:uid="{E4F4209A-EEDC-415B-803B-EA111017FD64}"/>
    <cellStyle name="Normal 5 3 6 6 3" xfId="11117" xr:uid="{789C342F-B6C0-4DA7-B4A6-9BE325D3DF5B}"/>
    <cellStyle name="Normal 5 3 6 7" xfId="4828" xr:uid="{00000000-0005-0000-0000-00009F1A0000}"/>
    <cellStyle name="Normal 5 3 6 7 2" xfId="13270" xr:uid="{0305DA56-FF2A-454E-B567-8FC1C08BBC1B}"/>
    <cellStyle name="Normal 5 3 6 8" xfId="9052" xr:uid="{F9B6755C-4FEF-4774-A075-9274CA1F1595}"/>
    <cellStyle name="Normal 5 3 7" xfId="913" xr:uid="{00000000-0005-0000-0000-0000A01A0000}"/>
    <cellStyle name="Normal 5 3 7 2" xfId="3148" xr:uid="{00000000-0005-0000-0000-0000A11A0000}"/>
    <cellStyle name="Normal 5 3 7 2 2" xfId="7371" xr:uid="{00000000-0005-0000-0000-0000A21A0000}"/>
    <cellStyle name="Normal 5 3 7 2 2 2" xfId="15813" xr:uid="{2E213ACA-782B-46ED-ADE2-14411525B4E9}"/>
    <cellStyle name="Normal 5 3 7 2 3" xfId="11595" xr:uid="{91FF931E-09B8-4085-B8A6-C690CBED5B8A}"/>
    <cellStyle name="Normal 5 3 7 3" xfId="5226" xr:uid="{00000000-0005-0000-0000-0000A31A0000}"/>
    <cellStyle name="Normal 5 3 7 3 2" xfId="13668" xr:uid="{8C4A50DA-7BC3-4BD9-9349-49B53FB756B3}"/>
    <cellStyle name="Normal 5 3 7 4" xfId="9450" xr:uid="{4FC68C6D-3860-483B-8F4E-268D8AF539B7}"/>
    <cellStyle name="Normal 5 3 8" xfId="1331" xr:uid="{00000000-0005-0000-0000-0000A41A0000}"/>
    <cellStyle name="Normal 5 3 8 2" xfId="3561" xr:uid="{00000000-0005-0000-0000-0000A51A0000}"/>
    <cellStyle name="Normal 5 3 8 2 2" xfId="7784" xr:uid="{00000000-0005-0000-0000-0000A61A0000}"/>
    <cellStyle name="Normal 5 3 8 2 2 2" xfId="16226" xr:uid="{ABD2DAEA-9B87-4105-8E7C-4085EF7A6359}"/>
    <cellStyle name="Normal 5 3 8 2 3" xfId="12008" xr:uid="{21F045FB-FB27-4596-AA60-B21DF10F5EE1}"/>
    <cellStyle name="Normal 5 3 8 3" xfId="5639" xr:uid="{00000000-0005-0000-0000-0000A71A0000}"/>
    <cellStyle name="Normal 5 3 8 3 2" xfId="14081" xr:uid="{8F4F6D84-4768-4F62-AEE5-4CA561AD0CDD}"/>
    <cellStyle name="Normal 5 3 8 4" xfId="9863" xr:uid="{3A152B2D-C4FF-4823-A593-6C85329F535D}"/>
    <cellStyle name="Normal 5 3 9" xfId="1744" xr:uid="{00000000-0005-0000-0000-0000A81A0000}"/>
    <cellStyle name="Normal 5 3 9 2" xfId="3974" xr:uid="{00000000-0005-0000-0000-0000A91A0000}"/>
    <cellStyle name="Normal 5 3 9 2 2" xfId="8197" xr:uid="{00000000-0005-0000-0000-0000AA1A0000}"/>
    <cellStyle name="Normal 5 3 9 2 2 2" xfId="16639" xr:uid="{1C7E68ED-3927-4EFA-92B0-3247F1866973}"/>
    <cellStyle name="Normal 5 3 9 2 3" xfId="12421" xr:uid="{87D8D573-8697-4A63-8473-CCCC8F1119A8}"/>
    <cellStyle name="Normal 5 3 9 3" xfId="6052" xr:uid="{00000000-0005-0000-0000-0000AB1A0000}"/>
    <cellStyle name="Normal 5 3 9 3 2" xfId="14494" xr:uid="{A24D1443-0F16-4F13-AAC2-2EFBBB4E9F61}"/>
    <cellStyle name="Normal 5 3 9 4" xfId="10276" xr:uid="{6055A460-10F4-4C7F-835E-278A8BA03AAB}"/>
    <cellStyle name="Normal 5 4" xfId="456" xr:uid="{00000000-0005-0000-0000-0000AC1A0000}"/>
    <cellStyle name="Normal 5 4 10" xfId="4829" xr:uid="{00000000-0005-0000-0000-0000AD1A0000}"/>
    <cellStyle name="Normal 5 4 10 2" xfId="13271" xr:uid="{7B9A0DF8-3C95-413C-810F-4FE5D9CA9D85}"/>
    <cellStyle name="Normal 5 4 11" xfId="9053" xr:uid="{FE9FA753-8C45-4114-A769-89646821A93D}"/>
    <cellStyle name="Normal 5 4 2" xfId="457" xr:uid="{00000000-0005-0000-0000-0000AE1A0000}"/>
    <cellStyle name="Normal 5 4 2 10" xfId="9054" xr:uid="{CDE51330-CB20-49C6-844F-75D504E0A924}"/>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6C1620C0-EFD6-4270-BDA8-07C18BBEADAA}"/>
    <cellStyle name="Normal 5 4 2 2 2 2 2 3" xfId="11614" xr:uid="{15ABBB7F-3E1B-47D9-85D3-2F32782EF391}"/>
    <cellStyle name="Normal 5 4 2 2 2 2 3" xfId="5245" xr:uid="{00000000-0005-0000-0000-0000B41A0000}"/>
    <cellStyle name="Normal 5 4 2 2 2 2 3 2" xfId="13687" xr:uid="{5A47A9D1-6158-453B-BE07-F40C81765D3B}"/>
    <cellStyle name="Normal 5 4 2 2 2 2 4" xfId="9469" xr:uid="{64DE5C76-E579-4907-A5FE-54876A6D7233}"/>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60A0BAC1-1716-4D81-BBF9-591521FC73FC}"/>
    <cellStyle name="Normal 5 4 2 2 2 3 2 3" xfId="12027" xr:uid="{801C8CEA-E46F-4077-9006-287EB5C4AF4C}"/>
    <cellStyle name="Normal 5 4 2 2 2 3 3" xfId="5658" xr:uid="{00000000-0005-0000-0000-0000B81A0000}"/>
    <cellStyle name="Normal 5 4 2 2 2 3 3 2" xfId="14100" xr:uid="{72117B3F-49A8-4E71-A189-C65F4CE29521}"/>
    <cellStyle name="Normal 5 4 2 2 2 3 4" xfId="9882" xr:uid="{9F698F8D-133A-4BFE-904D-2445D0458E1F}"/>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40FE73FD-A4BA-4138-BB5B-26F3EA960867}"/>
    <cellStyle name="Normal 5 4 2 2 2 4 2 3" xfId="12440" xr:uid="{B6FC3C01-442A-453C-9113-8A223B78D714}"/>
    <cellStyle name="Normal 5 4 2 2 2 4 3" xfId="6071" xr:uid="{00000000-0005-0000-0000-0000BC1A0000}"/>
    <cellStyle name="Normal 5 4 2 2 2 4 3 2" xfId="14513" xr:uid="{BAFC9639-D1DF-4EEF-886B-19BE76395B28}"/>
    <cellStyle name="Normal 5 4 2 2 2 4 4" xfId="10295" xr:uid="{C9F03956-9234-4C35-857A-18D8E1923BBB}"/>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DA561525-0DED-4A91-AC1E-48B3DC522C86}"/>
    <cellStyle name="Normal 5 4 2 2 2 5 2 3" xfId="12853" xr:uid="{FA2CA580-94FA-48BD-A6E3-3DA65EC8B130}"/>
    <cellStyle name="Normal 5 4 2 2 2 5 3" xfId="6484" xr:uid="{00000000-0005-0000-0000-0000C01A0000}"/>
    <cellStyle name="Normal 5 4 2 2 2 5 3 2" xfId="14926" xr:uid="{CF922ABA-D9E4-48A8-A4B1-1282C6B120B3}"/>
    <cellStyle name="Normal 5 4 2 2 2 5 4" xfId="10708" xr:uid="{80971982-2F59-4C34-8671-3E682D6D4BFC}"/>
    <cellStyle name="Normal 5 4 2 2 2 6" xfId="2613" xr:uid="{00000000-0005-0000-0000-0000C11A0000}"/>
    <cellStyle name="Normal 5 4 2 2 2 6 2" xfId="6897" xr:uid="{00000000-0005-0000-0000-0000C21A0000}"/>
    <cellStyle name="Normal 5 4 2 2 2 6 2 2" xfId="15339" xr:uid="{2C495EEE-30EC-4B02-844F-9736B757D0A5}"/>
    <cellStyle name="Normal 5 4 2 2 2 6 3" xfId="11121" xr:uid="{9371ED9F-8CB8-46A0-A036-11A1AEA7145C}"/>
    <cellStyle name="Normal 5 4 2 2 2 7" xfId="4832" xr:uid="{00000000-0005-0000-0000-0000C31A0000}"/>
    <cellStyle name="Normal 5 4 2 2 2 7 2" xfId="13274" xr:uid="{7B50B1AA-1F85-4986-848C-96C75B9F0A84}"/>
    <cellStyle name="Normal 5 4 2 2 2 8" xfId="9056" xr:uid="{0E119878-ED62-4D98-93A2-2B4DD15FD576}"/>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245BB635-42BA-4A52-9743-EB5272CFF951}"/>
    <cellStyle name="Normal 5 4 2 2 3 2 3" xfId="11613" xr:uid="{7B5DD7D4-2F08-42C3-A989-4233EFEE71EE}"/>
    <cellStyle name="Normal 5 4 2 2 3 3" xfId="5244" xr:uid="{00000000-0005-0000-0000-0000C71A0000}"/>
    <cellStyle name="Normal 5 4 2 2 3 3 2" xfId="13686" xr:uid="{DF49D6E4-5CFE-49C5-A060-C6F6542C9F8E}"/>
    <cellStyle name="Normal 5 4 2 2 3 4" xfId="9468" xr:uid="{5AA28798-714C-40B4-B6A1-6F43A8E369D9}"/>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1F51B253-6CF6-49A7-B1FE-D80C49DE3FEC}"/>
    <cellStyle name="Normal 5 4 2 2 4 2 3" xfId="12026" xr:uid="{E8C865CB-8162-41C8-92C9-5F12E4B7EE34}"/>
    <cellStyle name="Normal 5 4 2 2 4 3" xfId="5657" xr:uid="{00000000-0005-0000-0000-0000CB1A0000}"/>
    <cellStyle name="Normal 5 4 2 2 4 3 2" xfId="14099" xr:uid="{12FFE47A-9146-416F-8249-E3EA8AD00FA5}"/>
    <cellStyle name="Normal 5 4 2 2 4 4" xfId="9881" xr:uid="{A4ABA654-5517-4EEF-BB1A-22534BE0DF65}"/>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E10293AF-405A-4520-AC0C-F0BEA9995ACA}"/>
    <cellStyle name="Normal 5 4 2 2 5 2 3" xfId="12439" xr:uid="{9AB3181D-FD68-4BBA-A40F-C0483113B1F3}"/>
    <cellStyle name="Normal 5 4 2 2 5 3" xfId="6070" xr:uid="{00000000-0005-0000-0000-0000CF1A0000}"/>
    <cellStyle name="Normal 5 4 2 2 5 3 2" xfId="14512" xr:uid="{4086D913-D2AD-4B9F-8BCC-06732BFE22C9}"/>
    <cellStyle name="Normal 5 4 2 2 5 4" xfId="10294" xr:uid="{BF06C0E9-4D8E-4EF8-A4A6-51176A04777A}"/>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08809E86-2343-42FB-93EA-1F58B0D13699}"/>
    <cellStyle name="Normal 5 4 2 2 6 2 3" xfId="12852" xr:uid="{7F6B22CE-6ABA-4A97-BC1E-83F892A58D42}"/>
    <cellStyle name="Normal 5 4 2 2 6 3" xfId="6483" xr:uid="{00000000-0005-0000-0000-0000D31A0000}"/>
    <cellStyle name="Normal 5 4 2 2 6 3 2" xfId="14925" xr:uid="{5DCFDB0C-2A36-41D8-9670-ABE99512538E}"/>
    <cellStyle name="Normal 5 4 2 2 6 4" xfId="10707" xr:uid="{182D87C5-6A23-421C-8F83-AF25A53321CA}"/>
    <cellStyle name="Normal 5 4 2 2 7" xfId="2612" xr:uid="{00000000-0005-0000-0000-0000D41A0000}"/>
    <cellStyle name="Normal 5 4 2 2 7 2" xfId="6896" xr:uid="{00000000-0005-0000-0000-0000D51A0000}"/>
    <cellStyle name="Normal 5 4 2 2 7 2 2" xfId="15338" xr:uid="{4245E1AC-7CDA-4C76-9551-DC907383D10E}"/>
    <cellStyle name="Normal 5 4 2 2 7 3" xfId="11120" xr:uid="{FC18AAFE-756D-4FB0-B753-E855317011E6}"/>
    <cellStyle name="Normal 5 4 2 2 8" xfId="4831" xr:uid="{00000000-0005-0000-0000-0000D61A0000}"/>
    <cellStyle name="Normal 5 4 2 2 8 2" xfId="13273" xr:uid="{BA626A0E-8D31-44A9-B04E-E8773101408D}"/>
    <cellStyle name="Normal 5 4 2 2 9" xfId="9055" xr:uid="{C6A35B39-95DE-4F64-B03C-A620F5DDC96D}"/>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C58193FC-A9C1-487B-BCB5-BC36F51E2EAE}"/>
    <cellStyle name="Normal 5 4 2 3 2 2 3" xfId="11615" xr:uid="{D803A28D-FEF8-42EF-9C61-B7BC9841697C}"/>
    <cellStyle name="Normal 5 4 2 3 2 3" xfId="5246" xr:uid="{00000000-0005-0000-0000-0000DB1A0000}"/>
    <cellStyle name="Normal 5 4 2 3 2 3 2" xfId="13688" xr:uid="{13FD1707-D1C4-462F-8739-360CD5BBAC97}"/>
    <cellStyle name="Normal 5 4 2 3 2 4" xfId="9470" xr:uid="{206983FA-2116-4E4F-8A77-EFCEF3042149}"/>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2DFD736A-1159-49CE-8583-C1C2A7BD75A4}"/>
    <cellStyle name="Normal 5 4 2 3 3 2 3" xfId="12028" xr:uid="{E396163E-FB9E-489B-8B18-4654B425B6F8}"/>
    <cellStyle name="Normal 5 4 2 3 3 3" xfId="5659" xr:uid="{00000000-0005-0000-0000-0000DF1A0000}"/>
    <cellStyle name="Normal 5 4 2 3 3 3 2" xfId="14101" xr:uid="{93EC5C0A-8CD2-4E47-942F-10F712F1DC1D}"/>
    <cellStyle name="Normal 5 4 2 3 3 4" xfId="9883" xr:uid="{D59E59C0-B9D8-4E5A-BEFC-088C610AA21B}"/>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1F1B5548-1C07-4DF9-B672-E59BD51A80F7}"/>
    <cellStyle name="Normal 5 4 2 3 4 2 3" xfId="12441" xr:uid="{1D42C0E0-0D5C-49BF-98E1-FE54DC4AAA9A}"/>
    <cellStyle name="Normal 5 4 2 3 4 3" xfId="6072" xr:uid="{00000000-0005-0000-0000-0000E31A0000}"/>
    <cellStyle name="Normal 5 4 2 3 4 3 2" xfId="14514" xr:uid="{FD2675A3-0DEB-4181-93BF-DD3F9C0D21BE}"/>
    <cellStyle name="Normal 5 4 2 3 4 4" xfId="10296" xr:uid="{11D9FBD9-9170-4414-B41E-5D769954AA5A}"/>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DEC20788-16B5-4018-957B-FC9CF8563DC2}"/>
    <cellStyle name="Normal 5 4 2 3 5 2 3" xfId="12854" xr:uid="{36FD3E22-22E7-487C-91FA-38AEC3D9A733}"/>
    <cellStyle name="Normal 5 4 2 3 5 3" xfId="6485" xr:uid="{00000000-0005-0000-0000-0000E71A0000}"/>
    <cellStyle name="Normal 5 4 2 3 5 3 2" xfId="14927" xr:uid="{0F3FB76E-7F33-43C4-B7D3-20FDB0BE5F53}"/>
    <cellStyle name="Normal 5 4 2 3 5 4" xfId="10709" xr:uid="{18E0A10B-5D0C-40A5-AEC8-904003592CD7}"/>
    <cellStyle name="Normal 5 4 2 3 6" xfId="2614" xr:uid="{00000000-0005-0000-0000-0000E81A0000}"/>
    <cellStyle name="Normal 5 4 2 3 6 2" xfId="6898" xr:uid="{00000000-0005-0000-0000-0000E91A0000}"/>
    <cellStyle name="Normal 5 4 2 3 6 2 2" xfId="15340" xr:uid="{BC80C2A7-5760-4FB5-8317-B65FE70AD28C}"/>
    <cellStyle name="Normal 5 4 2 3 6 3" xfId="11122" xr:uid="{6F57F2C4-B068-41DC-AF83-BAA94E4CCD2D}"/>
    <cellStyle name="Normal 5 4 2 3 7" xfId="4833" xr:uid="{00000000-0005-0000-0000-0000EA1A0000}"/>
    <cellStyle name="Normal 5 4 2 3 7 2" xfId="13275" xr:uid="{621D7565-DFD5-4BFD-8627-50CDAA307454}"/>
    <cellStyle name="Normal 5 4 2 3 8" xfId="9057" xr:uid="{4BEDDA9E-F3A3-4813-9944-867BFD37E84A}"/>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9D35AC54-04E0-4644-8F38-49AB12524C3E}"/>
    <cellStyle name="Normal 5 4 2 4 2 3" xfId="11612" xr:uid="{2837DA3D-A6A9-4F33-93EF-74B393D2CD08}"/>
    <cellStyle name="Normal 5 4 2 4 3" xfId="5243" xr:uid="{00000000-0005-0000-0000-0000EE1A0000}"/>
    <cellStyle name="Normal 5 4 2 4 3 2" xfId="13685" xr:uid="{45686DC6-5EB2-49CF-9DDB-33BAA365452A}"/>
    <cellStyle name="Normal 5 4 2 4 4" xfId="9467" xr:uid="{63C042EF-CB79-4B69-94A9-8743AE62FDC6}"/>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ACE2A2A9-F0F4-4E2C-8057-74FD8D268E56}"/>
    <cellStyle name="Normal 5 4 2 5 2 3" xfId="12025" xr:uid="{DF9CF2EC-F757-4B24-8300-16369D19200D}"/>
    <cellStyle name="Normal 5 4 2 5 3" xfId="5656" xr:uid="{00000000-0005-0000-0000-0000F21A0000}"/>
    <cellStyle name="Normal 5 4 2 5 3 2" xfId="14098" xr:uid="{C75C4980-CAE1-4E3B-98B0-715E5A322039}"/>
    <cellStyle name="Normal 5 4 2 5 4" xfId="9880" xr:uid="{0493C8F1-D00E-4C57-BADE-5F80D276091C}"/>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C9276732-1F95-4DF9-B118-09905E50FDD5}"/>
    <cellStyle name="Normal 5 4 2 6 2 3" xfId="12438" xr:uid="{E105A7F0-DB50-4AD0-AECA-7D9C8A5CA59B}"/>
    <cellStyle name="Normal 5 4 2 6 3" xfId="6069" xr:uid="{00000000-0005-0000-0000-0000F61A0000}"/>
    <cellStyle name="Normal 5 4 2 6 3 2" xfId="14511" xr:uid="{FA2830FA-823C-4A8C-9838-F51DA2414C57}"/>
    <cellStyle name="Normal 5 4 2 6 4" xfId="10293" xr:uid="{13A7B64D-4729-4E89-920B-21B9070D66E8}"/>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36E508CC-4012-4138-AB0B-7AC0FB1EB49E}"/>
    <cellStyle name="Normal 5 4 2 7 2 3" xfId="12851" xr:uid="{569D6E83-5C2D-44D0-9F2F-F272BAB40AF0}"/>
    <cellStyle name="Normal 5 4 2 7 3" xfId="6482" xr:uid="{00000000-0005-0000-0000-0000FA1A0000}"/>
    <cellStyle name="Normal 5 4 2 7 3 2" xfId="14924" xr:uid="{DEB21F03-1B07-4AD4-9139-CFC9F864C095}"/>
    <cellStyle name="Normal 5 4 2 7 4" xfId="10706" xr:uid="{1BB41238-6B78-4EAE-B368-319B263F2689}"/>
    <cellStyle name="Normal 5 4 2 8" xfId="2611" xr:uid="{00000000-0005-0000-0000-0000FB1A0000}"/>
    <cellStyle name="Normal 5 4 2 8 2" xfId="6895" xr:uid="{00000000-0005-0000-0000-0000FC1A0000}"/>
    <cellStyle name="Normal 5 4 2 8 2 2" xfId="15337" xr:uid="{5916AFD1-4BF5-4F5C-9FAB-8D9DDF31DD07}"/>
    <cellStyle name="Normal 5 4 2 8 3" xfId="11119" xr:uid="{F57802C8-976E-4927-ABFB-B34DB1EB7533}"/>
    <cellStyle name="Normal 5 4 2 9" xfId="4830" xr:uid="{00000000-0005-0000-0000-0000FD1A0000}"/>
    <cellStyle name="Normal 5 4 2 9 2" xfId="13272" xr:uid="{6395D55B-D64B-4A20-8607-9B6C6D866576}"/>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E57A0317-973D-4AA4-B6F3-7CBF42247E90}"/>
    <cellStyle name="Normal 5 4 3 2 2 2 3" xfId="11617" xr:uid="{F1255DF4-CF48-4E4A-A062-4F26C0C439D0}"/>
    <cellStyle name="Normal 5 4 3 2 2 3" xfId="5248" xr:uid="{00000000-0005-0000-0000-0000031B0000}"/>
    <cellStyle name="Normal 5 4 3 2 2 3 2" xfId="13690" xr:uid="{62002BB3-236B-4E70-8926-A02A0F09669C}"/>
    <cellStyle name="Normal 5 4 3 2 2 4" xfId="9472" xr:uid="{64A4FA8D-1D40-470D-8BF8-30324D69B6F3}"/>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0B99A80C-A991-4DCB-BD45-1D23710FACEF}"/>
    <cellStyle name="Normal 5 4 3 2 3 2 3" xfId="12030" xr:uid="{8A241909-23D9-446B-83DA-4559A80FD73C}"/>
    <cellStyle name="Normal 5 4 3 2 3 3" xfId="5661" xr:uid="{00000000-0005-0000-0000-0000071B0000}"/>
    <cellStyle name="Normal 5 4 3 2 3 3 2" xfId="14103" xr:uid="{B6533321-29AB-44BC-B267-CB7CBF314FE3}"/>
    <cellStyle name="Normal 5 4 3 2 3 4" xfId="9885" xr:uid="{DEAAC94E-1BB4-4401-B55C-7E107E0BF119}"/>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5925CCFB-5C8D-48DE-9069-9863CF0B907F}"/>
    <cellStyle name="Normal 5 4 3 2 4 2 3" xfId="12443" xr:uid="{7775F6CA-0F0F-4910-AECA-C4257946F34C}"/>
    <cellStyle name="Normal 5 4 3 2 4 3" xfId="6074" xr:uid="{00000000-0005-0000-0000-00000B1B0000}"/>
    <cellStyle name="Normal 5 4 3 2 4 3 2" xfId="14516" xr:uid="{95A0C85D-0EDF-4E5B-B0A9-60BF733875AB}"/>
    <cellStyle name="Normal 5 4 3 2 4 4" xfId="10298" xr:uid="{A684D79C-B83C-4572-BBD6-6B44F50ECCC1}"/>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F0C895DB-FEB4-4824-AB35-F45A394A4A7A}"/>
    <cellStyle name="Normal 5 4 3 2 5 2 3" xfId="12856" xr:uid="{F453782C-65D2-4BFD-BC9A-AFA1C1CFFE12}"/>
    <cellStyle name="Normal 5 4 3 2 5 3" xfId="6487" xr:uid="{00000000-0005-0000-0000-00000F1B0000}"/>
    <cellStyle name="Normal 5 4 3 2 5 3 2" xfId="14929" xr:uid="{5131CDE2-48B4-4EED-A4E2-CA1FB315BD21}"/>
    <cellStyle name="Normal 5 4 3 2 5 4" xfId="10711" xr:uid="{1C42E3A6-58C0-4C4F-B130-A57B04747AB2}"/>
    <cellStyle name="Normal 5 4 3 2 6" xfId="2616" xr:uid="{00000000-0005-0000-0000-0000101B0000}"/>
    <cellStyle name="Normal 5 4 3 2 6 2" xfId="6900" xr:uid="{00000000-0005-0000-0000-0000111B0000}"/>
    <cellStyle name="Normal 5 4 3 2 6 2 2" xfId="15342" xr:uid="{17846BEC-96F8-41D9-8026-5739CB68B9B5}"/>
    <cellStyle name="Normal 5 4 3 2 6 3" xfId="11124" xr:uid="{F0E2D9FB-5F64-4FAA-8022-5B82BB85271B}"/>
    <cellStyle name="Normal 5 4 3 2 7" xfId="4835" xr:uid="{00000000-0005-0000-0000-0000121B0000}"/>
    <cellStyle name="Normal 5 4 3 2 7 2" xfId="13277" xr:uid="{5BE0E691-F055-47C3-8F69-8CC78AA01F51}"/>
    <cellStyle name="Normal 5 4 3 2 8" xfId="9059" xr:uid="{8EE87671-CC83-4FD4-9A17-6A6717896377}"/>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96280840-D8A1-44B9-A2C7-7CB034248F37}"/>
    <cellStyle name="Normal 5 4 3 3 2 3" xfId="11616" xr:uid="{194F62EC-D716-4361-A812-DB0C3607620A}"/>
    <cellStyle name="Normal 5 4 3 3 3" xfId="5247" xr:uid="{00000000-0005-0000-0000-0000161B0000}"/>
    <cellStyle name="Normal 5 4 3 3 3 2" xfId="13689" xr:uid="{A4A9C889-6FEC-4048-9E83-472151B3BEA2}"/>
    <cellStyle name="Normal 5 4 3 3 4" xfId="9471" xr:uid="{CCC52779-66D8-4AC7-AA05-42A1946E2690}"/>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53D488A7-A0B0-4B95-BAF8-44906C0C8AAF}"/>
    <cellStyle name="Normal 5 4 3 4 2 3" xfId="12029" xr:uid="{8BBF870E-1EDF-4B98-960D-B5F5F5E8DD37}"/>
    <cellStyle name="Normal 5 4 3 4 3" xfId="5660" xr:uid="{00000000-0005-0000-0000-00001A1B0000}"/>
    <cellStyle name="Normal 5 4 3 4 3 2" xfId="14102" xr:uid="{7674CE4F-D871-401F-A798-7E52A5C7D943}"/>
    <cellStyle name="Normal 5 4 3 4 4" xfId="9884" xr:uid="{04C03934-FF78-40A4-ABA0-8A0B0892E76C}"/>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F01DD1A9-62A7-4471-AC36-020EBF7FA671}"/>
    <cellStyle name="Normal 5 4 3 5 2 3" xfId="12442" xr:uid="{466B2BD0-3244-49B1-8F5D-251E00F39204}"/>
    <cellStyle name="Normal 5 4 3 5 3" xfId="6073" xr:uid="{00000000-0005-0000-0000-00001E1B0000}"/>
    <cellStyle name="Normal 5 4 3 5 3 2" xfId="14515" xr:uid="{CD1A539C-415C-4006-ABE9-40263AD68598}"/>
    <cellStyle name="Normal 5 4 3 5 4" xfId="10297" xr:uid="{B17F05BF-7880-4733-AF80-2A31DD440EFD}"/>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95B4B4EA-D924-413B-AD87-52879B9E95E3}"/>
    <cellStyle name="Normal 5 4 3 6 2 3" xfId="12855" xr:uid="{62566639-C174-4FBD-9CB1-7ED29948BAD6}"/>
    <cellStyle name="Normal 5 4 3 6 3" xfId="6486" xr:uid="{00000000-0005-0000-0000-0000221B0000}"/>
    <cellStyle name="Normal 5 4 3 6 3 2" xfId="14928" xr:uid="{077501C7-F9D3-4FDE-9BEE-2BEA68D48A30}"/>
    <cellStyle name="Normal 5 4 3 6 4" xfId="10710" xr:uid="{7D81085D-B226-495D-A129-C0BA50FCED0D}"/>
    <cellStyle name="Normal 5 4 3 7" xfId="2615" xr:uid="{00000000-0005-0000-0000-0000231B0000}"/>
    <cellStyle name="Normal 5 4 3 7 2" xfId="6899" xr:uid="{00000000-0005-0000-0000-0000241B0000}"/>
    <cellStyle name="Normal 5 4 3 7 2 2" xfId="15341" xr:uid="{A9384365-C42D-408A-8FC9-038302BA1E69}"/>
    <cellStyle name="Normal 5 4 3 7 3" xfId="11123" xr:uid="{4AFC43CD-4D21-4009-9CBF-3EBF431ADF88}"/>
    <cellStyle name="Normal 5 4 3 8" xfId="4834" xr:uid="{00000000-0005-0000-0000-0000251B0000}"/>
    <cellStyle name="Normal 5 4 3 8 2" xfId="13276" xr:uid="{C80AC3D6-5BFC-44A0-AA6C-66094FB7B601}"/>
    <cellStyle name="Normal 5 4 3 9" xfId="9058" xr:uid="{D8FFEB25-D330-43D2-87E9-3B160055887E}"/>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55BC99D3-8546-42D0-9DCE-D890FE0D0646}"/>
    <cellStyle name="Normal 5 4 4 2 2 3" xfId="11618" xr:uid="{B47D9638-7001-43DE-9053-ACCDDB32FE76}"/>
    <cellStyle name="Normal 5 4 4 2 3" xfId="5249" xr:uid="{00000000-0005-0000-0000-00002A1B0000}"/>
    <cellStyle name="Normal 5 4 4 2 3 2" xfId="13691" xr:uid="{8BBB6D59-9B35-48D9-B21A-5046933C4DD6}"/>
    <cellStyle name="Normal 5 4 4 2 4" xfId="9473" xr:uid="{D8EDAC70-F6F7-49B3-BDE8-EF7FBDD0F69F}"/>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49E36CC2-2857-4B75-BD1B-9F6A6682DFE2}"/>
    <cellStyle name="Normal 5 4 4 3 2 3" xfId="12031" xr:uid="{80672CE6-E21C-47D1-80F2-FCF2A09AA63B}"/>
    <cellStyle name="Normal 5 4 4 3 3" xfId="5662" xr:uid="{00000000-0005-0000-0000-00002E1B0000}"/>
    <cellStyle name="Normal 5 4 4 3 3 2" xfId="14104" xr:uid="{4917F6D1-316A-4390-BBE7-8A836C7CC929}"/>
    <cellStyle name="Normal 5 4 4 3 4" xfId="9886" xr:uid="{E1DB0623-060E-4DAA-9D63-6808898BFDFA}"/>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6D21AC14-1C50-4F91-9E4B-7B9CCB3AB59D}"/>
    <cellStyle name="Normal 5 4 4 4 2 3" xfId="12444" xr:uid="{95DD6A14-FE4F-4863-855F-D1D08D1C1912}"/>
    <cellStyle name="Normal 5 4 4 4 3" xfId="6075" xr:uid="{00000000-0005-0000-0000-0000321B0000}"/>
    <cellStyle name="Normal 5 4 4 4 3 2" xfId="14517" xr:uid="{34A5CBD4-79CD-4ADC-B6B2-8CF1BD73C652}"/>
    <cellStyle name="Normal 5 4 4 4 4" xfId="10299" xr:uid="{97F1E281-01F1-4227-A53B-6ECD058A748D}"/>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4EEDFDDB-1A2F-40AF-B985-D55199AB7FCE}"/>
    <cellStyle name="Normal 5 4 4 5 2 3" xfId="12857" xr:uid="{E6161255-3AA9-41FF-B701-38C30E3C2F49}"/>
    <cellStyle name="Normal 5 4 4 5 3" xfId="6488" xr:uid="{00000000-0005-0000-0000-0000361B0000}"/>
    <cellStyle name="Normal 5 4 4 5 3 2" xfId="14930" xr:uid="{762E29C0-299D-42CE-A53A-EC7B0CAF5DB5}"/>
    <cellStyle name="Normal 5 4 4 5 4" xfId="10712" xr:uid="{591ECBAF-CADF-4940-AD11-5E0FA1B99317}"/>
    <cellStyle name="Normal 5 4 4 6" xfId="2617" xr:uid="{00000000-0005-0000-0000-0000371B0000}"/>
    <cellStyle name="Normal 5 4 4 6 2" xfId="6901" xr:uid="{00000000-0005-0000-0000-0000381B0000}"/>
    <cellStyle name="Normal 5 4 4 6 2 2" xfId="15343" xr:uid="{54FB5FB0-1307-4652-AD5F-BAF716950EE7}"/>
    <cellStyle name="Normal 5 4 4 6 3" xfId="11125" xr:uid="{B356E2FA-2D0C-42F6-B407-D4E9DF7DA374}"/>
    <cellStyle name="Normal 5 4 4 7" xfId="4836" xr:uid="{00000000-0005-0000-0000-0000391B0000}"/>
    <cellStyle name="Normal 5 4 4 7 2" xfId="13278" xr:uid="{1856D37D-C90B-465D-9891-63C523C644B9}"/>
    <cellStyle name="Normal 5 4 4 8" xfId="9060" xr:uid="{3CB3DFF6-9D9F-4D6C-A951-B21D5E7556C4}"/>
    <cellStyle name="Normal 5 4 5" xfId="930" xr:uid="{00000000-0005-0000-0000-00003A1B0000}"/>
    <cellStyle name="Normal 5 4 5 2" xfId="3164" xr:uid="{00000000-0005-0000-0000-00003B1B0000}"/>
    <cellStyle name="Normal 5 4 5 2 2" xfId="7387" xr:uid="{00000000-0005-0000-0000-00003C1B0000}"/>
    <cellStyle name="Normal 5 4 5 2 2 2" xfId="15829" xr:uid="{F9D13BC7-1BC9-486D-B174-DDD60ED4E846}"/>
    <cellStyle name="Normal 5 4 5 2 3" xfId="11611" xr:uid="{9A29E5EC-EBA5-483F-9EA2-65E36DCC0669}"/>
    <cellStyle name="Normal 5 4 5 3" xfId="5242" xr:uid="{00000000-0005-0000-0000-00003D1B0000}"/>
    <cellStyle name="Normal 5 4 5 3 2" xfId="13684" xr:uid="{BDACCEFC-ADF8-482D-B141-898AEEB3AD0D}"/>
    <cellStyle name="Normal 5 4 5 4" xfId="9466" xr:uid="{D05B6040-CC65-4C2A-9EF9-5B2DBCB5E871}"/>
    <cellStyle name="Normal 5 4 6" xfId="1347" xr:uid="{00000000-0005-0000-0000-00003E1B0000}"/>
    <cellStyle name="Normal 5 4 6 2" xfId="3577" xr:uid="{00000000-0005-0000-0000-00003F1B0000}"/>
    <cellStyle name="Normal 5 4 6 2 2" xfId="7800" xr:uid="{00000000-0005-0000-0000-0000401B0000}"/>
    <cellStyle name="Normal 5 4 6 2 2 2" xfId="16242" xr:uid="{F77EB1B5-7A42-467A-B6DB-5F1EF8C3D66D}"/>
    <cellStyle name="Normal 5 4 6 2 3" xfId="12024" xr:uid="{46B1B1AA-9633-4E1A-A879-D6B538341185}"/>
    <cellStyle name="Normal 5 4 6 3" xfId="5655" xr:uid="{00000000-0005-0000-0000-0000411B0000}"/>
    <cellStyle name="Normal 5 4 6 3 2" xfId="14097" xr:uid="{92CB115B-F0A9-4BFC-BADD-FA2130E7DA66}"/>
    <cellStyle name="Normal 5 4 6 4" xfId="9879" xr:uid="{2CA6EC39-7402-4EC7-85B8-6929590FA2C1}"/>
    <cellStyle name="Normal 5 4 7" xfId="1760" xr:uid="{00000000-0005-0000-0000-0000421B0000}"/>
    <cellStyle name="Normal 5 4 7 2" xfId="3990" xr:uid="{00000000-0005-0000-0000-0000431B0000}"/>
    <cellStyle name="Normal 5 4 7 2 2" xfId="8213" xr:uid="{00000000-0005-0000-0000-0000441B0000}"/>
    <cellStyle name="Normal 5 4 7 2 2 2" xfId="16655" xr:uid="{E389315A-DEB5-43B2-ADE0-3E55C9DC3BA2}"/>
    <cellStyle name="Normal 5 4 7 2 3" xfId="12437" xr:uid="{BFFBD61E-9B99-4447-A2D0-CDDCA6DB1D33}"/>
    <cellStyle name="Normal 5 4 7 3" xfId="6068" xr:uid="{00000000-0005-0000-0000-0000451B0000}"/>
    <cellStyle name="Normal 5 4 7 3 2" xfId="14510" xr:uid="{7654F184-C266-4598-AB7A-9AEB8336A790}"/>
    <cellStyle name="Normal 5 4 7 4" xfId="10292" xr:uid="{1B3CB935-369E-4F85-9FB0-FC7432F1D706}"/>
    <cellStyle name="Normal 5 4 8" xfId="2174" xr:uid="{00000000-0005-0000-0000-0000461B0000}"/>
    <cellStyle name="Normal 5 4 8 2" xfId="4403" xr:uid="{00000000-0005-0000-0000-0000471B0000}"/>
    <cellStyle name="Normal 5 4 8 2 2" xfId="8626" xr:uid="{00000000-0005-0000-0000-0000481B0000}"/>
    <cellStyle name="Normal 5 4 8 2 2 2" xfId="17068" xr:uid="{CC8F2C27-C49F-421C-8C57-B3C475397684}"/>
    <cellStyle name="Normal 5 4 8 2 3" xfId="12850" xr:uid="{D5068D1D-84CD-4902-AD18-9C14A50A9AFB}"/>
    <cellStyle name="Normal 5 4 8 3" xfId="6481" xr:uid="{00000000-0005-0000-0000-0000491B0000}"/>
    <cellStyle name="Normal 5 4 8 3 2" xfId="14923" xr:uid="{AAFB9E75-F265-4FA6-BA69-D75513FCB6C9}"/>
    <cellStyle name="Normal 5 4 8 4" xfId="10705" xr:uid="{010A5C5A-CD63-4220-A84F-5A6231FE368B}"/>
    <cellStyle name="Normal 5 4 9" xfId="2610" xr:uid="{00000000-0005-0000-0000-00004A1B0000}"/>
    <cellStyle name="Normal 5 4 9 2" xfId="6894" xr:uid="{00000000-0005-0000-0000-00004B1B0000}"/>
    <cellStyle name="Normal 5 4 9 2 2" xfId="15336" xr:uid="{ECBEC78A-FB4D-466C-8464-544E53991C38}"/>
    <cellStyle name="Normal 5 4 9 3" xfId="11118" xr:uid="{25A93D2C-2387-4BC0-83E6-22F02F65D333}"/>
    <cellStyle name="Normal 5 5" xfId="464" xr:uid="{00000000-0005-0000-0000-00004C1B0000}"/>
    <cellStyle name="Normal 5 5 10" xfId="9061" xr:uid="{C138FB5B-1359-47A6-9D3D-99C0F9FE4B8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711B06F2-7D68-457C-AF46-E0E7F273CF60}"/>
    <cellStyle name="Normal 5 5 2 2 2 2 3" xfId="11621" xr:uid="{83451DC2-41FA-40C5-A500-FEDE21C7CD96}"/>
    <cellStyle name="Normal 5 5 2 2 2 3" xfId="5252" xr:uid="{00000000-0005-0000-0000-0000521B0000}"/>
    <cellStyle name="Normal 5 5 2 2 2 3 2" xfId="13694" xr:uid="{E5531950-E360-46CC-B0BC-F1A7B85A1D83}"/>
    <cellStyle name="Normal 5 5 2 2 2 4" xfId="9476" xr:uid="{CBA7BE2E-39F9-469A-9A3F-7906590BE6FA}"/>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56B34F42-57EE-4522-9214-3CC3F9366E8C}"/>
    <cellStyle name="Normal 5 5 2 2 3 2 3" xfId="12034" xr:uid="{D7119128-9FAB-42E3-9FD7-513BB36D394A}"/>
    <cellStyle name="Normal 5 5 2 2 3 3" xfId="5665" xr:uid="{00000000-0005-0000-0000-0000561B0000}"/>
    <cellStyle name="Normal 5 5 2 2 3 3 2" xfId="14107" xr:uid="{32AF30A5-44BD-4AA5-8F56-60F4F659FF4A}"/>
    <cellStyle name="Normal 5 5 2 2 3 4" xfId="9889" xr:uid="{048156A8-EC75-4BA8-BF16-1AE093FCE782}"/>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D2EF14CE-8AAA-4B4B-8D0C-59FC509DE0DE}"/>
    <cellStyle name="Normal 5 5 2 2 4 2 3" xfId="12447" xr:uid="{51F8E43E-7CF9-4569-8BAB-484C13F01C09}"/>
    <cellStyle name="Normal 5 5 2 2 4 3" xfId="6078" xr:uid="{00000000-0005-0000-0000-00005A1B0000}"/>
    <cellStyle name="Normal 5 5 2 2 4 3 2" xfId="14520" xr:uid="{1AFAD85E-0D27-4E7C-95CD-A1554C846153}"/>
    <cellStyle name="Normal 5 5 2 2 4 4" xfId="10302" xr:uid="{629000D9-41B6-4397-A3B0-E1134E1CB70B}"/>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E3DEF9B3-6F71-4D33-A254-5720759E8201}"/>
    <cellStyle name="Normal 5 5 2 2 5 2 3" xfId="12860" xr:uid="{DF7CFD7E-E099-4790-9AD8-2B3DE926B1A1}"/>
    <cellStyle name="Normal 5 5 2 2 5 3" xfId="6491" xr:uid="{00000000-0005-0000-0000-00005E1B0000}"/>
    <cellStyle name="Normal 5 5 2 2 5 3 2" xfId="14933" xr:uid="{63EE571B-C2B8-4A58-8DBB-B5B31B3414EB}"/>
    <cellStyle name="Normal 5 5 2 2 5 4" xfId="10715" xr:uid="{048D1081-8FE2-4450-BE2D-4C225994A9F2}"/>
    <cellStyle name="Normal 5 5 2 2 6" xfId="2620" xr:uid="{00000000-0005-0000-0000-00005F1B0000}"/>
    <cellStyle name="Normal 5 5 2 2 6 2" xfId="6904" xr:uid="{00000000-0005-0000-0000-0000601B0000}"/>
    <cellStyle name="Normal 5 5 2 2 6 2 2" xfId="15346" xr:uid="{B414665E-C33E-4DEF-AC62-D72528775E4E}"/>
    <cellStyle name="Normal 5 5 2 2 6 3" xfId="11128" xr:uid="{F3ABE579-4EF2-44D7-9767-134F60E08F9D}"/>
    <cellStyle name="Normal 5 5 2 2 7" xfId="4839" xr:uid="{00000000-0005-0000-0000-0000611B0000}"/>
    <cellStyle name="Normal 5 5 2 2 7 2" xfId="13281" xr:uid="{0746862A-1C52-4CDE-8545-45FBBF918495}"/>
    <cellStyle name="Normal 5 5 2 2 8" xfId="9063" xr:uid="{08AC53DB-2A0E-44C2-B5AB-BB244B287B49}"/>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AB378A5B-E892-41B0-91B8-A00FBA9D0223}"/>
    <cellStyle name="Normal 5 5 2 3 2 3" xfId="11620" xr:uid="{61888A0C-90F0-4D92-B144-649A5C6E8E03}"/>
    <cellStyle name="Normal 5 5 2 3 3" xfId="5251" xr:uid="{00000000-0005-0000-0000-0000651B0000}"/>
    <cellStyle name="Normal 5 5 2 3 3 2" xfId="13693" xr:uid="{E507FBA5-21A0-4DB3-9E9C-C41368871108}"/>
    <cellStyle name="Normal 5 5 2 3 4" xfId="9475" xr:uid="{8556E52A-25CD-4EC2-83A8-0D0C0F9D78AE}"/>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22C18D9D-D524-4F91-B24E-A349D1B0AC67}"/>
    <cellStyle name="Normal 5 5 2 4 2 3" xfId="12033" xr:uid="{0C5ACAC7-C321-4864-8849-1ACD21BF79FB}"/>
    <cellStyle name="Normal 5 5 2 4 3" xfId="5664" xr:uid="{00000000-0005-0000-0000-0000691B0000}"/>
    <cellStyle name="Normal 5 5 2 4 3 2" xfId="14106" xr:uid="{5278107C-FD14-4C77-9880-EE367B754369}"/>
    <cellStyle name="Normal 5 5 2 4 4" xfId="9888" xr:uid="{F0768E05-551E-4A80-ABCD-A14329B0056C}"/>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F3BE5B77-373F-46EC-8D4C-BD00FB4BF276}"/>
    <cellStyle name="Normal 5 5 2 5 2 3" xfId="12446" xr:uid="{CD0A02A6-6837-4A04-8AA9-53AF0143038C}"/>
    <cellStyle name="Normal 5 5 2 5 3" xfId="6077" xr:uid="{00000000-0005-0000-0000-00006D1B0000}"/>
    <cellStyle name="Normal 5 5 2 5 3 2" xfId="14519" xr:uid="{B1C76939-ADC7-4BAB-A7C5-004294AFF2E2}"/>
    <cellStyle name="Normal 5 5 2 5 4" xfId="10301" xr:uid="{5C587EE9-BD83-49E4-A351-B557BE14F178}"/>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AB4755D3-2D20-4255-8CF7-E5D7D3D5A749}"/>
    <cellStyle name="Normal 5 5 2 6 2 3" xfId="12859" xr:uid="{6EEC3EC1-F7AA-46B2-85A8-BC142DBC487C}"/>
    <cellStyle name="Normal 5 5 2 6 3" xfId="6490" xr:uid="{00000000-0005-0000-0000-0000711B0000}"/>
    <cellStyle name="Normal 5 5 2 6 3 2" xfId="14932" xr:uid="{B5F52EBA-2CC1-44B1-BBE2-DA33355E7B78}"/>
    <cellStyle name="Normal 5 5 2 6 4" xfId="10714" xr:uid="{19E312DE-E66F-4091-9E0A-2CB00A82D661}"/>
    <cellStyle name="Normal 5 5 2 7" xfId="2619" xr:uid="{00000000-0005-0000-0000-0000721B0000}"/>
    <cellStyle name="Normal 5 5 2 7 2" xfId="6903" xr:uid="{00000000-0005-0000-0000-0000731B0000}"/>
    <cellStyle name="Normal 5 5 2 7 2 2" xfId="15345" xr:uid="{FDD34465-12B6-463D-B67F-4E809A90BFF1}"/>
    <cellStyle name="Normal 5 5 2 7 3" xfId="11127" xr:uid="{C3D8E13C-B2F0-4E62-A722-451BF8F02AE6}"/>
    <cellStyle name="Normal 5 5 2 8" xfId="4838" xr:uid="{00000000-0005-0000-0000-0000741B0000}"/>
    <cellStyle name="Normal 5 5 2 8 2" xfId="13280" xr:uid="{1F6CD910-6511-4D58-AD62-01675112E241}"/>
    <cellStyle name="Normal 5 5 2 9" xfId="9062" xr:uid="{6CF88012-18F7-465E-8AD3-565823CF4981}"/>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7EE24527-62F5-421D-8DBD-E310C04F846D}"/>
    <cellStyle name="Normal 5 5 3 2 2 3" xfId="11622" xr:uid="{39851946-0CB0-4D31-BCD3-28B4E22BEEB6}"/>
    <cellStyle name="Normal 5 5 3 2 3" xfId="5253" xr:uid="{00000000-0005-0000-0000-0000791B0000}"/>
    <cellStyle name="Normal 5 5 3 2 3 2" xfId="13695" xr:uid="{E60444D1-870F-4624-850D-9465C4D8C504}"/>
    <cellStyle name="Normal 5 5 3 2 4" xfId="9477" xr:uid="{78CF232E-72EB-4A4F-80A8-689034ACC0C3}"/>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2E3C8E36-0A5B-44E2-8491-6583AC23845C}"/>
    <cellStyle name="Normal 5 5 3 3 2 3" xfId="12035" xr:uid="{87B1B6E7-8122-488B-94AD-2241669451C6}"/>
    <cellStyle name="Normal 5 5 3 3 3" xfId="5666" xr:uid="{00000000-0005-0000-0000-00007D1B0000}"/>
    <cellStyle name="Normal 5 5 3 3 3 2" xfId="14108" xr:uid="{150C679D-26FD-48B1-8568-D8078ABA98AC}"/>
    <cellStyle name="Normal 5 5 3 3 4" xfId="9890" xr:uid="{082C3FAA-5F73-48D6-9976-D7CAFDC42425}"/>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D1EAF5BA-6469-4F28-A0FD-A8A13AA1C4C1}"/>
    <cellStyle name="Normal 5 5 3 4 2 3" xfId="12448" xr:uid="{780B3FE6-94DA-4A4A-9A71-448FAE9B2374}"/>
    <cellStyle name="Normal 5 5 3 4 3" xfId="6079" xr:uid="{00000000-0005-0000-0000-0000811B0000}"/>
    <cellStyle name="Normal 5 5 3 4 3 2" xfId="14521" xr:uid="{177BDADE-4ED7-485E-B8C4-29D770D0ACDC}"/>
    <cellStyle name="Normal 5 5 3 4 4" xfId="10303" xr:uid="{574D2FA5-6B3F-46C8-9BA0-581520431BDA}"/>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EE759FEF-DA6D-4014-BA1D-EA53B06E3BAA}"/>
    <cellStyle name="Normal 5 5 3 5 2 3" xfId="12861" xr:uid="{DB67586B-F04D-48BB-B7DC-C2004A6025A6}"/>
    <cellStyle name="Normal 5 5 3 5 3" xfId="6492" xr:uid="{00000000-0005-0000-0000-0000851B0000}"/>
    <cellStyle name="Normal 5 5 3 5 3 2" xfId="14934" xr:uid="{728D5DE8-F267-4084-83C6-679CD5020A72}"/>
    <cellStyle name="Normal 5 5 3 5 4" xfId="10716" xr:uid="{A717ECAF-9F91-427C-AF36-0F4AE758D15E}"/>
    <cellStyle name="Normal 5 5 3 6" xfId="2621" xr:uid="{00000000-0005-0000-0000-0000861B0000}"/>
    <cellStyle name="Normal 5 5 3 6 2" xfId="6905" xr:uid="{00000000-0005-0000-0000-0000871B0000}"/>
    <cellStyle name="Normal 5 5 3 6 2 2" xfId="15347" xr:uid="{7767AC53-1333-46E6-9BAB-61547E7F90C3}"/>
    <cellStyle name="Normal 5 5 3 6 3" xfId="11129" xr:uid="{7A74FFA3-6968-4EAB-87EC-E71A5F7821E7}"/>
    <cellStyle name="Normal 5 5 3 7" xfId="4840" xr:uid="{00000000-0005-0000-0000-0000881B0000}"/>
    <cellStyle name="Normal 5 5 3 7 2" xfId="13282" xr:uid="{C677B2CF-578E-4729-92D3-A0DD12DD7134}"/>
    <cellStyle name="Normal 5 5 3 8" xfId="9064" xr:uid="{D45838D0-49F7-4D6B-A3C7-A4506DCA90EF}"/>
    <cellStyle name="Normal 5 5 4" xfId="938" xr:uid="{00000000-0005-0000-0000-0000891B0000}"/>
    <cellStyle name="Normal 5 5 4 2" xfId="3172" xr:uid="{00000000-0005-0000-0000-00008A1B0000}"/>
    <cellStyle name="Normal 5 5 4 2 2" xfId="7395" xr:uid="{00000000-0005-0000-0000-00008B1B0000}"/>
    <cellStyle name="Normal 5 5 4 2 2 2" xfId="15837" xr:uid="{BA64487D-A402-4B31-981E-CB205B08C359}"/>
    <cellStyle name="Normal 5 5 4 2 3" xfId="11619" xr:uid="{1A0372CE-7473-423D-881B-5E872A40E2DF}"/>
    <cellStyle name="Normal 5 5 4 3" xfId="5250" xr:uid="{00000000-0005-0000-0000-00008C1B0000}"/>
    <cellStyle name="Normal 5 5 4 3 2" xfId="13692" xr:uid="{9B0D364A-947E-440F-B4D5-2EA6B34D5CFB}"/>
    <cellStyle name="Normal 5 5 4 4" xfId="9474" xr:uid="{42082952-D319-4EEF-8863-4F6C904195A6}"/>
    <cellStyle name="Normal 5 5 5" xfId="1355" xr:uid="{00000000-0005-0000-0000-00008D1B0000}"/>
    <cellStyle name="Normal 5 5 5 2" xfId="3585" xr:uid="{00000000-0005-0000-0000-00008E1B0000}"/>
    <cellStyle name="Normal 5 5 5 2 2" xfId="7808" xr:uid="{00000000-0005-0000-0000-00008F1B0000}"/>
    <cellStyle name="Normal 5 5 5 2 2 2" xfId="16250" xr:uid="{831F858E-F949-4174-9A02-DCED139BDC34}"/>
    <cellStyle name="Normal 5 5 5 2 3" xfId="12032" xr:uid="{4B7BEE60-7345-4E36-A42B-DA17358AA372}"/>
    <cellStyle name="Normal 5 5 5 3" xfId="5663" xr:uid="{00000000-0005-0000-0000-0000901B0000}"/>
    <cellStyle name="Normal 5 5 5 3 2" xfId="14105" xr:uid="{B6DB9BE6-8966-4113-95E0-A8CC105067EA}"/>
    <cellStyle name="Normal 5 5 5 4" xfId="9887" xr:uid="{7CC38E98-FA18-4946-9FB6-69C6F2871B4A}"/>
    <cellStyle name="Normal 5 5 6" xfId="1768" xr:uid="{00000000-0005-0000-0000-0000911B0000}"/>
    <cellStyle name="Normal 5 5 6 2" xfId="3998" xr:uid="{00000000-0005-0000-0000-0000921B0000}"/>
    <cellStyle name="Normal 5 5 6 2 2" xfId="8221" xr:uid="{00000000-0005-0000-0000-0000931B0000}"/>
    <cellStyle name="Normal 5 5 6 2 2 2" xfId="16663" xr:uid="{5A17FEC6-A5E1-4A52-A379-A849ED40B96F}"/>
    <cellStyle name="Normal 5 5 6 2 3" xfId="12445" xr:uid="{67AF6D1D-CB87-420E-A356-E582EC571D43}"/>
    <cellStyle name="Normal 5 5 6 3" xfId="6076" xr:uid="{00000000-0005-0000-0000-0000941B0000}"/>
    <cellStyle name="Normal 5 5 6 3 2" xfId="14518" xr:uid="{7DCEF840-794A-413B-AE3A-487FC2B95CBA}"/>
    <cellStyle name="Normal 5 5 6 4" xfId="10300" xr:uid="{38A190D0-82C3-448E-BD66-9F10D406383F}"/>
    <cellStyle name="Normal 5 5 7" xfId="2182" xr:uid="{00000000-0005-0000-0000-0000951B0000}"/>
    <cellStyle name="Normal 5 5 7 2" xfId="4411" xr:uid="{00000000-0005-0000-0000-0000961B0000}"/>
    <cellStyle name="Normal 5 5 7 2 2" xfId="8634" xr:uid="{00000000-0005-0000-0000-0000971B0000}"/>
    <cellStyle name="Normal 5 5 7 2 2 2" xfId="17076" xr:uid="{B3C88C63-923D-486B-ACD4-DC5F33086C5B}"/>
    <cellStyle name="Normal 5 5 7 2 3" xfId="12858" xr:uid="{929DAFAF-93BD-487E-A791-22A2BF7C1B8D}"/>
    <cellStyle name="Normal 5 5 7 3" xfId="6489" xr:uid="{00000000-0005-0000-0000-0000981B0000}"/>
    <cellStyle name="Normal 5 5 7 3 2" xfId="14931" xr:uid="{90C0E2B1-5E7F-40FE-9534-08AD6D9114F4}"/>
    <cellStyle name="Normal 5 5 7 4" xfId="10713" xr:uid="{9AFD7C97-CFCC-4108-9268-79300AF073A5}"/>
    <cellStyle name="Normal 5 5 8" xfId="2618" xr:uid="{00000000-0005-0000-0000-0000991B0000}"/>
    <cellStyle name="Normal 5 5 8 2" xfId="6902" xr:uid="{00000000-0005-0000-0000-00009A1B0000}"/>
    <cellStyle name="Normal 5 5 8 2 2" xfId="15344" xr:uid="{68616B01-2E44-45EF-97CF-3FB4C49678D3}"/>
    <cellStyle name="Normal 5 5 8 3" xfId="11126" xr:uid="{6F97C700-FBDD-448D-93BF-2556F7535AD2}"/>
    <cellStyle name="Normal 5 5 9" xfId="4837" xr:uid="{00000000-0005-0000-0000-00009B1B0000}"/>
    <cellStyle name="Normal 5 5 9 2" xfId="13279" xr:uid="{646AFF6C-E5F2-4A24-9480-DE67D8851EFA}"/>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B6AE40B0-69F2-425E-ABC9-7A7D5B9B0E56}"/>
    <cellStyle name="Normal 5 6 2 2 2 3" xfId="11624" xr:uid="{65D257A5-44A1-4020-83A3-DA64DFB379B7}"/>
    <cellStyle name="Normal 5 6 2 2 3" xfId="5255" xr:uid="{00000000-0005-0000-0000-0000A11B0000}"/>
    <cellStyle name="Normal 5 6 2 2 3 2" xfId="13697" xr:uid="{A120B782-C0D2-4B43-8E9C-A71A6906DC94}"/>
    <cellStyle name="Normal 5 6 2 2 4" xfId="9479" xr:uid="{F66F38A0-C18D-4851-9EFC-45A61207DF36}"/>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A2CDD5CD-F30E-4E52-B241-5B2165DE2DD7}"/>
    <cellStyle name="Normal 5 6 2 3 2 3" xfId="12037" xr:uid="{0FAE9380-7B4E-4F88-9D43-42058D823FAB}"/>
    <cellStyle name="Normal 5 6 2 3 3" xfId="5668" xr:uid="{00000000-0005-0000-0000-0000A51B0000}"/>
    <cellStyle name="Normal 5 6 2 3 3 2" xfId="14110" xr:uid="{52B90D78-E6A2-4F9D-AFD9-C064C02431C9}"/>
    <cellStyle name="Normal 5 6 2 3 4" xfId="9892" xr:uid="{BBF75034-C672-4746-A838-189111200665}"/>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589A6D92-453E-4EAD-844D-89D4A656DC9F}"/>
    <cellStyle name="Normal 5 6 2 4 2 3" xfId="12450" xr:uid="{0241E03C-019A-4DA0-B49F-70855368AA4D}"/>
    <cellStyle name="Normal 5 6 2 4 3" xfId="6081" xr:uid="{00000000-0005-0000-0000-0000A91B0000}"/>
    <cellStyle name="Normal 5 6 2 4 3 2" xfId="14523" xr:uid="{6124229B-E4F5-4A57-94DD-6317CEF76A72}"/>
    <cellStyle name="Normal 5 6 2 4 4" xfId="10305" xr:uid="{DEC10693-6267-4B5D-B5DA-499C69DA8302}"/>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55BC87CF-8BE4-405B-A5E6-0E52959E017B}"/>
    <cellStyle name="Normal 5 6 2 5 2 3" xfId="12863" xr:uid="{022E29B4-7A1C-46E8-9872-0BA9D0F5C374}"/>
    <cellStyle name="Normal 5 6 2 5 3" xfId="6494" xr:uid="{00000000-0005-0000-0000-0000AD1B0000}"/>
    <cellStyle name="Normal 5 6 2 5 3 2" xfId="14936" xr:uid="{0D622AD1-7812-43D4-9D96-066A5488757E}"/>
    <cellStyle name="Normal 5 6 2 5 4" xfId="10718" xr:uid="{F7363DCA-9EAA-4842-9A96-FCFBD8D19CE1}"/>
    <cellStyle name="Normal 5 6 2 6" xfId="2623" xr:uid="{00000000-0005-0000-0000-0000AE1B0000}"/>
    <cellStyle name="Normal 5 6 2 6 2" xfId="6907" xr:uid="{00000000-0005-0000-0000-0000AF1B0000}"/>
    <cellStyle name="Normal 5 6 2 6 2 2" xfId="15349" xr:uid="{37FA4BA1-5041-4B28-A8DE-2BDFBA0EDC66}"/>
    <cellStyle name="Normal 5 6 2 6 3" xfId="11131" xr:uid="{36DCC523-ECF5-4AEA-BF69-55A0BD4CC5CE}"/>
    <cellStyle name="Normal 5 6 2 7" xfId="4842" xr:uid="{00000000-0005-0000-0000-0000B01B0000}"/>
    <cellStyle name="Normal 5 6 2 7 2" xfId="13284" xr:uid="{E855B288-0898-4AE9-B762-E00864A9F038}"/>
    <cellStyle name="Normal 5 6 2 8" xfId="9066" xr:uid="{0C4FBD52-ABFC-4D5A-9655-22E31B0E80E1}"/>
    <cellStyle name="Normal 5 6 3" xfId="942" xr:uid="{00000000-0005-0000-0000-0000B11B0000}"/>
    <cellStyle name="Normal 5 6 3 2" xfId="3176" xr:uid="{00000000-0005-0000-0000-0000B21B0000}"/>
    <cellStyle name="Normal 5 6 3 2 2" xfId="7399" xr:uid="{00000000-0005-0000-0000-0000B31B0000}"/>
    <cellStyle name="Normal 5 6 3 2 2 2" xfId="15841" xr:uid="{78F5A999-7A61-4BAA-8D0E-04456C1EF765}"/>
    <cellStyle name="Normal 5 6 3 2 3" xfId="11623" xr:uid="{9427F7EB-884C-43DF-8C13-F589F589A95B}"/>
    <cellStyle name="Normal 5 6 3 3" xfId="5254" xr:uid="{00000000-0005-0000-0000-0000B41B0000}"/>
    <cellStyle name="Normal 5 6 3 3 2" xfId="13696" xr:uid="{2B662FBB-ABC6-464D-8FBF-E94CB0000E29}"/>
    <cellStyle name="Normal 5 6 3 4" xfId="9478" xr:uid="{EE612787-B817-4D04-BCE6-7FD8FD8599C7}"/>
    <cellStyle name="Normal 5 6 4" xfId="1359" xr:uid="{00000000-0005-0000-0000-0000B51B0000}"/>
    <cellStyle name="Normal 5 6 4 2" xfId="3589" xr:uid="{00000000-0005-0000-0000-0000B61B0000}"/>
    <cellStyle name="Normal 5 6 4 2 2" xfId="7812" xr:uid="{00000000-0005-0000-0000-0000B71B0000}"/>
    <cellStyle name="Normal 5 6 4 2 2 2" xfId="16254" xr:uid="{668F06FA-943F-4C61-818C-59CB7806283F}"/>
    <cellStyle name="Normal 5 6 4 2 3" xfId="12036" xr:uid="{5E8DABB9-80F6-4153-B8B3-97205E2C5475}"/>
    <cellStyle name="Normal 5 6 4 3" xfId="5667" xr:uid="{00000000-0005-0000-0000-0000B81B0000}"/>
    <cellStyle name="Normal 5 6 4 3 2" xfId="14109" xr:uid="{2FBBF99D-E103-44B3-BF6B-886A6010740B}"/>
    <cellStyle name="Normal 5 6 4 4" xfId="9891" xr:uid="{5512EF78-13BF-4D29-8ABD-F45BD06EBD0C}"/>
    <cellStyle name="Normal 5 6 5" xfId="1772" xr:uid="{00000000-0005-0000-0000-0000B91B0000}"/>
    <cellStyle name="Normal 5 6 5 2" xfId="4002" xr:uid="{00000000-0005-0000-0000-0000BA1B0000}"/>
    <cellStyle name="Normal 5 6 5 2 2" xfId="8225" xr:uid="{00000000-0005-0000-0000-0000BB1B0000}"/>
    <cellStyle name="Normal 5 6 5 2 2 2" xfId="16667" xr:uid="{321AEB63-6D69-49BD-A742-EFE5A36C8024}"/>
    <cellStyle name="Normal 5 6 5 2 3" xfId="12449" xr:uid="{5F6BC4AE-B4E5-4148-A56A-50A9DEE85DFE}"/>
    <cellStyle name="Normal 5 6 5 3" xfId="6080" xr:uid="{00000000-0005-0000-0000-0000BC1B0000}"/>
    <cellStyle name="Normal 5 6 5 3 2" xfId="14522" xr:uid="{85A5F4AF-ACE6-4A4B-B7FF-08D4AB8CBE11}"/>
    <cellStyle name="Normal 5 6 5 4" xfId="10304" xr:uid="{1EDFE193-5A8B-440E-9383-776BDC5A802C}"/>
    <cellStyle name="Normal 5 6 6" xfId="2186" xr:uid="{00000000-0005-0000-0000-0000BD1B0000}"/>
    <cellStyle name="Normal 5 6 6 2" xfId="4415" xr:uid="{00000000-0005-0000-0000-0000BE1B0000}"/>
    <cellStyle name="Normal 5 6 6 2 2" xfId="8638" xr:uid="{00000000-0005-0000-0000-0000BF1B0000}"/>
    <cellStyle name="Normal 5 6 6 2 2 2" xfId="17080" xr:uid="{76EC9FEB-B215-484C-8482-251AA24160EE}"/>
    <cellStyle name="Normal 5 6 6 2 3" xfId="12862" xr:uid="{FF7BEC48-4E0D-4750-A7F3-6C332C52E0C1}"/>
    <cellStyle name="Normal 5 6 6 3" xfId="6493" xr:uid="{00000000-0005-0000-0000-0000C01B0000}"/>
    <cellStyle name="Normal 5 6 6 3 2" xfId="14935" xr:uid="{563C723C-E176-494F-86DB-8A2C33A7A72A}"/>
    <cellStyle name="Normal 5 6 6 4" xfId="10717" xr:uid="{D397385C-C06C-4B49-98F4-02F34B60D6CF}"/>
    <cellStyle name="Normal 5 6 7" xfId="2622" xr:uid="{00000000-0005-0000-0000-0000C11B0000}"/>
    <cellStyle name="Normal 5 6 7 2" xfId="6906" xr:uid="{00000000-0005-0000-0000-0000C21B0000}"/>
    <cellStyle name="Normal 5 6 7 2 2" xfId="15348" xr:uid="{D0C885BC-4882-4E8B-B4EF-5DDDFEB388A6}"/>
    <cellStyle name="Normal 5 6 7 3" xfId="11130" xr:uid="{386C4B19-1B3F-45F3-B482-811509530D29}"/>
    <cellStyle name="Normal 5 6 8" xfId="4841" xr:uid="{00000000-0005-0000-0000-0000C31B0000}"/>
    <cellStyle name="Normal 5 6 8 2" xfId="13283" xr:uid="{B8DD2482-D514-4A49-9D84-4C197B28D4EF}"/>
    <cellStyle name="Normal 5 6 9" xfId="9065" xr:uid="{B1E8CE1D-5055-4DA4-9010-BDB19D42D48E}"/>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7DFD3DA7-9E62-4955-8FC2-6716231C38EC}"/>
    <cellStyle name="Normal 5 7 2 2 3" xfId="11625" xr:uid="{13CC60FF-B08F-42E0-B7E1-802ACDEA3B3E}"/>
    <cellStyle name="Normal 5 7 2 3" xfId="5256" xr:uid="{00000000-0005-0000-0000-0000C81B0000}"/>
    <cellStyle name="Normal 5 7 2 3 2" xfId="13698" xr:uid="{4AED1A03-7EA3-40E9-B5B8-F959932393D4}"/>
    <cellStyle name="Normal 5 7 2 4" xfId="9480" xr:uid="{0CC8056A-FACA-4D2A-BBC8-E2A724F087D4}"/>
    <cellStyle name="Normal 5 7 3" xfId="1361" xr:uid="{00000000-0005-0000-0000-0000C91B0000}"/>
    <cellStyle name="Normal 5 7 3 2" xfId="3591" xr:uid="{00000000-0005-0000-0000-0000CA1B0000}"/>
    <cellStyle name="Normal 5 7 3 2 2" xfId="7814" xr:uid="{00000000-0005-0000-0000-0000CB1B0000}"/>
    <cellStyle name="Normal 5 7 3 2 2 2" xfId="16256" xr:uid="{3ADB0175-F61A-4D63-86F0-260E1316F4FF}"/>
    <cellStyle name="Normal 5 7 3 2 3" xfId="12038" xr:uid="{00C076EA-6322-43ED-9C69-F8724F80EB91}"/>
    <cellStyle name="Normal 5 7 3 3" xfId="5669" xr:uid="{00000000-0005-0000-0000-0000CC1B0000}"/>
    <cellStyle name="Normal 5 7 3 3 2" xfId="14111" xr:uid="{843B46EC-E0EC-48B3-BE8E-BF75627EDCC6}"/>
    <cellStyle name="Normal 5 7 3 4" xfId="9893" xr:uid="{0D4B92F5-CF39-435A-A7DD-16F2619EC2DD}"/>
    <cellStyle name="Normal 5 7 4" xfId="1774" xr:uid="{00000000-0005-0000-0000-0000CD1B0000}"/>
    <cellStyle name="Normal 5 7 4 2" xfId="4004" xr:uid="{00000000-0005-0000-0000-0000CE1B0000}"/>
    <cellStyle name="Normal 5 7 4 2 2" xfId="8227" xr:uid="{00000000-0005-0000-0000-0000CF1B0000}"/>
    <cellStyle name="Normal 5 7 4 2 2 2" xfId="16669" xr:uid="{68F5CB9C-7C80-4BFB-B24F-04AC2F9829DB}"/>
    <cellStyle name="Normal 5 7 4 2 3" xfId="12451" xr:uid="{A3352E2C-758C-4FB7-BC4A-F1A97C7B439D}"/>
    <cellStyle name="Normal 5 7 4 3" xfId="6082" xr:uid="{00000000-0005-0000-0000-0000D01B0000}"/>
    <cellStyle name="Normal 5 7 4 3 2" xfId="14524" xr:uid="{BC4E8767-5320-445D-AE26-39F432634E7C}"/>
    <cellStyle name="Normal 5 7 4 4" xfId="10306" xr:uid="{1F1E7060-0701-45EF-8D23-E81E3B43D579}"/>
    <cellStyle name="Normal 5 7 5" xfId="2188" xr:uid="{00000000-0005-0000-0000-0000D11B0000}"/>
    <cellStyle name="Normal 5 7 5 2" xfId="4417" xr:uid="{00000000-0005-0000-0000-0000D21B0000}"/>
    <cellStyle name="Normal 5 7 5 2 2" xfId="8640" xr:uid="{00000000-0005-0000-0000-0000D31B0000}"/>
    <cellStyle name="Normal 5 7 5 2 2 2" xfId="17082" xr:uid="{1E6C5EE9-8E06-4D79-B40D-9478D0E64223}"/>
    <cellStyle name="Normal 5 7 5 2 3" xfId="12864" xr:uid="{6C460A1E-017B-48E1-A56C-D0A7F48307AF}"/>
    <cellStyle name="Normal 5 7 5 3" xfId="6495" xr:uid="{00000000-0005-0000-0000-0000D41B0000}"/>
    <cellStyle name="Normal 5 7 5 3 2" xfId="14937" xr:uid="{8909ACE4-8F6C-4FE8-9B80-104DD247DB85}"/>
    <cellStyle name="Normal 5 7 5 4" xfId="10719" xr:uid="{AFA67085-4B2D-4A10-A0B6-0F070981018E}"/>
    <cellStyle name="Normal 5 7 6" xfId="2624" xr:uid="{00000000-0005-0000-0000-0000D51B0000}"/>
    <cellStyle name="Normal 5 7 6 2" xfId="6908" xr:uid="{00000000-0005-0000-0000-0000D61B0000}"/>
    <cellStyle name="Normal 5 7 6 2 2" xfId="15350" xr:uid="{1579662C-A6D3-4188-8664-0C0C0DD7B834}"/>
    <cellStyle name="Normal 5 7 6 3" xfId="11132" xr:uid="{433674ED-1B4B-4E1C-9844-8725B0BFE1A2}"/>
    <cellStyle name="Normal 5 7 7" xfId="4843" xr:uid="{00000000-0005-0000-0000-0000D71B0000}"/>
    <cellStyle name="Normal 5 7 7 2" xfId="13285" xr:uid="{4F1168A7-9553-43DB-A39F-0FEA469F0905}"/>
    <cellStyle name="Normal 5 7 8" xfId="9067" xr:uid="{E85F8207-9168-4025-846E-BD2B53FCC927}"/>
    <cellStyle name="Normal 5 8" xfId="880" xr:uid="{00000000-0005-0000-0000-0000D81B0000}"/>
    <cellStyle name="Normal 5 8 2" xfId="3115" xr:uid="{00000000-0005-0000-0000-0000D91B0000}"/>
    <cellStyle name="Normal 5 8 2 2" xfId="7338" xr:uid="{00000000-0005-0000-0000-0000DA1B0000}"/>
    <cellStyle name="Normal 5 8 2 2 2" xfId="15780" xr:uid="{6F3E9445-A4FE-464C-9798-F6881904859E}"/>
    <cellStyle name="Normal 5 8 2 3" xfId="11562" xr:uid="{C9653E52-80F2-4E4C-B7AC-347486E102A1}"/>
    <cellStyle name="Normal 5 8 3" xfId="5193" xr:uid="{00000000-0005-0000-0000-0000DB1B0000}"/>
    <cellStyle name="Normal 5 8 3 2" xfId="13635" xr:uid="{A6685402-DBE1-45B9-8607-527A75A79F22}"/>
    <cellStyle name="Normal 5 8 4" xfId="9417" xr:uid="{BB5DA267-A00B-4B3A-B17C-26F1CA4ABD90}"/>
    <cellStyle name="Normal 5 9" xfId="1298" xr:uid="{00000000-0005-0000-0000-0000DC1B0000}"/>
    <cellStyle name="Normal 5 9 2" xfId="3528" xr:uid="{00000000-0005-0000-0000-0000DD1B0000}"/>
    <cellStyle name="Normal 5 9 2 2" xfId="7751" xr:uid="{00000000-0005-0000-0000-0000DE1B0000}"/>
    <cellStyle name="Normal 5 9 2 2 2" xfId="16193" xr:uid="{DCBF4952-FB7B-468C-884B-7B7CB44128C9}"/>
    <cellStyle name="Normal 5 9 2 3" xfId="11975" xr:uid="{D030DF77-9F3B-4117-9933-6AB75BDDFB00}"/>
    <cellStyle name="Normal 5 9 3" xfId="5606" xr:uid="{00000000-0005-0000-0000-0000DF1B0000}"/>
    <cellStyle name="Normal 5 9 3 2" xfId="14048" xr:uid="{C009540A-B7BC-4438-AB3B-DEAC571430B2}"/>
    <cellStyle name="Normal 5 9 4" xfId="9830" xr:uid="{CC86456B-897C-46AE-934E-B6E8DA449935}"/>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0C49E627-DBE4-4F3E-AC8F-3535E788907F}"/>
    <cellStyle name="Normal 8 10 2 3" xfId="12865" xr:uid="{563A580E-74C6-417A-B433-C25AB65E0196}"/>
    <cellStyle name="Normal 8 10 3" xfId="6496" xr:uid="{00000000-0005-0000-0000-0000EB1B0000}"/>
    <cellStyle name="Normal 8 10 3 2" xfId="14938" xr:uid="{5467DC7A-76B7-4DE1-A623-D4033A443659}"/>
    <cellStyle name="Normal 8 10 4" xfId="10720" xr:uid="{A50F91DB-A35B-4815-B12F-A023F8D747EA}"/>
    <cellStyle name="Normal 8 11" xfId="2625" xr:uid="{00000000-0005-0000-0000-0000EC1B0000}"/>
    <cellStyle name="Normal 8 11 2" xfId="6909" xr:uid="{00000000-0005-0000-0000-0000ED1B0000}"/>
    <cellStyle name="Normal 8 11 2 2" xfId="15351" xr:uid="{C46DC42A-7069-4914-A7FF-DFB8B9945796}"/>
    <cellStyle name="Normal 8 11 3" xfId="11133" xr:uid="{67CDAD6D-77AC-41B7-A019-D18E3F52549C}"/>
    <cellStyle name="Normal 8 12" xfId="4844" xr:uid="{00000000-0005-0000-0000-0000EE1B0000}"/>
    <cellStyle name="Normal 8 12 2" xfId="13286" xr:uid="{1168D6ED-EC75-41D9-AB3E-07B0AAC0FEE7}"/>
    <cellStyle name="Normal 8 13" xfId="9068" xr:uid="{61CD31F6-1265-499F-8029-90E89EF8EA0B}"/>
    <cellStyle name="Normal 8 2" xfId="479" xr:uid="{00000000-0005-0000-0000-0000EF1B0000}"/>
    <cellStyle name="Normal 8 2 10" xfId="2626" xr:uid="{00000000-0005-0000-0000-0000F01B0000}"/>
    <cellStyle name="Normal 8 2 10 2" xfId="6910" xr:uid="{00000000-0005-0000-0000-0000F11B0000}"/>
    <cellStyle name="Normal 8 2 10 2 2" xfId="15352" xr:uid="{BF165AE4-4932-4A88-9DBA-5DE36C4AABCD}"/>
    <cellStyle name="Normal 8 2 10 3" xfId="11134" xr:uid="{CACCDE20-029C-4A32-AAE7-F7D09A78F8C1}"/>
    <cellStyle name="Normal 8 2 11" xfId="4845" xr:uid="{00000000-0005-0000-0000-0000F21B0000}"/>
    <cellStyle name="Normal 8 2 11 2" xfId="13287" xr:uid="{4B81FA69-8974-4F3F-8D90-7A822FB866E0}"/>
    <cellStyle name="Normal 8 2 12" xfId="9069" xr:uid="{AB902F92-CCF2-4D32-82BA-1D8B478630BE}"/>
    <cellStyle name="Normal 8 2 2" xfId="480" xr:uid="{00000000-0005-0000-0000-0000F31B0000}"/>
    <cellStyle name="Normal 8 2 2 10" xfId="4846" xr:uid="{00000000-0005-0000-0000-0000F41B0000}"/>
    <cellStyle name="Normal 8 2 2 10 2" xfId="13288" xr:uid="{4346373D-58F4-42E7-B989-F54C7A6A507B}"/>
    <cellStyle name="Normal 8 2 2 11" xfId="9070" xr:uid="{964A9A21-5DED-487D-A9C9-29465AB32ACF}"/>
    <cellStyle name="Normal 8 2 2 2" xfId="481" xr:uid="{00000000-0005-0000-0000-0000F51B0000}"/>
    <cellStyle name="Normal 8 2 2 2 10" xfId="9071" xr:uid="{BE41C329-11E3-4EEA-916A-EA12AA0E4C61}"/>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9FA6FE35-0EFA-4383-A103-5B51C24C1A01}"/>
    <cellStyle name="Normal 8 2 2 2 2 2 2 2 3" xfId="11631" xr:uid="{0956A84C-9DE5-43CD-A1E3-CB57084C61B0}"/>
    <cellStyle name="Normal 8 2 2 2 2 2 2 3" xfId="5262" xr:uid="{00000000-0005-0000-0000-0000FB1B0000}"/>
    <cellStyle name="Normal 8 2 2 2 2 2 2 3 2" xfId="13704" xr:uid="{C8954EA6-2FB0-4B92-A518-D903DA2609CD}"/>
    <cellStyle name="Normal 8 2 2 2 2 2 2 4" xfId="9486" xr:uid="{66C51A7C-514B-4D3E-97B8-EEAF8415166B}"/>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85C1DD5C-F39C-4AFF-9179-B51E7B0B0AB0}"/>
    <cellStyle name="Normal 8 2 2 2 2 2 3 2 3" xfId="12044" xr:uid="{85BFE7C9-0A3D-478C-AFF4-7AC6360F9470}"/>
    <cellStyle name="Normal 8 2 2 2 2 2 3 3" xfId="5675" xr:uid="{00000000-0005-0000-0000-0000FF1B0000}"/>
    <cellStyle name="Normal 8 2 2 2 2 2 3 3 2" xfId="14117" xr:uid="{298AD07F-E884-4D4D-8BC0-21AA51B973F7}"/>
    <cellStyle name="Normal 8 2 2 2 2 2 3 4" xfId="9899" xr:uid="{79DC33D8-B9BC-474A-B3CF-7786266380EC}"/>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1A2386D1-335F-4F4B-8053-FE0D3BFB0CD3}"/>
    <cellStyle name="Normal 8 2 2 2 2 2 4 2 3" xfId="12457" xr:uid="{D9AF75FF-8B0D-4729-BDF3-369C4CAA58A1}"/>
    <cellStyle name="Normal 8 2 2 2 2 2 4 3" xfId="6088" xr:uid="{00000000-0005-0000-0000-0000031C0000}"/>
    <cellStyle name="Normal 8 2 2 2 2 2 4 3 2" xfId="14530" xr:uid="{63EDFAB1-9990-4522-ADC3-ACC2AD24BED1}"/>
    <cellStyle name="Normal 8 2 2 2 2 2 4 4" xfId="10312" xr:uid="{F019C322-571D-44C4-9615-DDCFD299059C}"/>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9DE2454A-DA8E-4072-937F-9BC69CDB1461}"/>
    <cellStyle name="Normal 8 2 2 2 2 2 5 2 3" xfId="12870" xr:uid="{683E42F0-F4D8-4FDE-94CF-62163CC7D2A3}"/>
    <cellStyle name="Normal 8 2 2 2 2 2 5 3" xfId="6501" xr:uid="{00000000-0005-0000-0000-0000071C0000}"/>
    <cellStyle name="Normal 8 2 2 2 2 2 5 3 2" xfId="14943" xr:uid="{857B6439-CB4D-4680-B01E-931A4B66F974}"/>
    <cellStyle name="Normal 8 2 2 2 2 2 5 4" xfId="10725" xr:uid="{C777D3E7-26E0-4342-A300-AE2A89CF7C93}"/>
    <cellStyle name="Normal 8 2 2 2 2 2 6" xfId="2630" xr:uid="{00000000-0005-0000-0000-0000081C0000}"/>
    <cellStyle name="Normal 8 2 2 2 2 2 6 2" xfId="6914" xr:uid="{00000000-0005-0000-0000-0000091C0000}"/>
    <cellStyle name="Normal 8 2 2 2 2 2 6 2 2" xfId="15356" xr:uid="{04AE7156-BEDA-43F4-A40F-31CAD8848B10}"/>
    <cellStyle name="Normal 8 2 2 2 2 2 6 3" xfId="11138" xr:uid="{D3582E6D-AD12-401A-A5A3-A51C49BA44CD}"/>
    <cellStyle name="Normal 8 2 2 2 2 2 7" xfId="4849" xr:uid="{00000000-0005-0000-0000-00000A1C0000}"/>
    <cellStyle name="Normal 8 2 2 2 2 2 7 2" xfId="13291" xr:uid="{EB5DA860-3A80-4F2B-87CB-56A664CAD763}"/>
    <cellStyle name="Normal 8 2 2 2 2 2 8" xfId="9073" xr:uid="{85943EDC-6726-49B4-AA16-21C5A5D8FDB7}"/>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164D3B6C-0099-4D24-9299-58F126158EC5}"/>
    <cellStyle name="Normal 8 2 2 2 2 3 2 3" xfId="11630" xr:uid="{F963679E-9BCE-4496-91DE-52232F6697BA}"/>
    <cellStyle name="Normal 8 2 2 2 2 3 3" xfId="5261" xr:uid="{00000000-0005-0000-0000-00000E1C0000}"/>
    <cellStyle name="Normal 8 2 2 2 2 3 3 2" xfId="13703" xr:uid="{F52F4ADD-5F69-4E97-AB2F-D83988A25A9B}"/>
    <cellStyle name="Normal 8 2 2 2 2 3 4" xfId="9485" xr:uid="{A2A043C2-AD7F-4C2D-9A26-05EECC7E0362}"/>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375104EB-7F2A-4F8B-8999-8ACD4C4DF780}"/>
    <cellStyle name="Normal 8 2 2 2 2 4 2 3" xfId="12043" xr:uid="{F96E75A0-3EE0-40C9-91F6-14108D8FB85C}"/>
    <cellStyle name="Normal 8 2 2 2 2 4 3" xfId="5674" xr:uid="{00000000-0005-0000-0000-0000121C0000}"/>
    <cellStyle name="Normal 8 2 2 2 2 4 3 2" xfId="14116" xr:uid="{DACB20F2-2EDE-4006-8FC5-B71D96065829}"/>
    <cellStyle name="Normal 8 2 2 2 2 4 4" xfId="9898" xr:uid="{F546BB47-98A2-48B4-87F9-3336091F3546}"/>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D29ACAC3-DEDF-4CF3-9889-04B88EB55914}"/>
    <cellStyle name="Normal 8 2 2 2 2 5 2 3" xfId="12456" xr:uid="{1C13C1A6-5D3B-4EAC-9889-C785EB9273ED}"/>
    <cellStyle name="Normal 8 2 2 2 2 5 3" xfId="6087" xr:uid="{00000000-0005-0000-0000-0000161C0000}"/>
    <cellStyle name="Normal 8 2 2 2 2 5 3 2" xfId="14529" xr:uid="{8BD62E5C-3B8E-489D-8CAD-482536DE0FE5}"/>
    <cellStyle name="Normal 8 2 2 2 2 5 4" xfId="10311" xr:uid="{2EF289D3-4199-4404-AAEE-FA097C58FBF8}"/>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7891C823-589B-4A9A-A897-99A9CFA166DA}"/>
    <cellStyle name="Normal 8 2 2 2 2 6 2 3" xfId="12869" xr:uid="{DA830289-AF4A-4AB1-B7F8-8B9269B8E143}"/>
    <cellStyle name="Normal 8 2 2 2 2 6 3" xfId="6500" xr:uid="{00000000-0005-0000-0000-00001A1C0000}"/>
    <cellStyle name="Normal 8 2 2 2 2 6 3 2" xfId="14942" xr:uid="{5CC34101-4CF9-4B04-91E7-D17871B4EDA5}"/>
    <cellStyle name="Normal 8 2 2 2 2 6 4" xfId="10724" xr:uid="{1105FFA0-9838-4C4E-A7A0-02B91AA42452}"/>
    <cellStyle name="Normal 8 2 2 2 2 7" xfId="2629" xr:uid="{00000000-0005-0000-0000-00001B1C0000}"/>
    <cellStyle name="Normal 8 2 2 2 2 7 2" xfId="6913" xr:uid="{00000000-0005-0000-0000-00001C1C0000}"/>
    <cellStyle name="Normal 8 2 2 2 2 7 2 2" xfId="15355" xr:uid="{0C3C4EAC-343A-4E9D-B48F-670A6E6265A7}"/>
    <cellStyle name="Normal 8 2 2 2 2 7 3" xfId="11137" xr:uid="{7583FD2F-F8B7-4464-BAE9-9A0B6BE62904}"/>
    <cellStyle name="Normal 8 2 2 2 2 8" xfId="4848" xr:uid="{00000000-0005-0000-0000-00001D1C0000}"/>
    <cellStyle name="Normal 8 2 2 2 2 8 2" xfId="13290" xr:uid="{A307D0B6-B868-4883-81AD-0B8C4DE399DB}"/>
    <cellStyle name="Normal 8 2 2 2 2 9" xfId="9072" xr:uid="{D86B3B3C-6054-42A0-8855-C11EA5C2AC8D}"/>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9B54E926-04F1-4441-BAF4-008DF52BDF8F}"/>
    <cellStyle name="Normal 8 2 2 2 3 2 2 3" xfId="11632" xr:uid="{D45EEE33-694E-468B-BD31-EC7637ABC874}"/>
    <cellStyle name="Normal 8 2 2 2 3 2 3" xfId="5263" xr:uid="{00000000-0005-0000-0000-0000221C0000}"/>
    <cellStyle name="Normal 8 2 2 2 3 2 3 2" xfId="13705" xr:uid="{ADDB0B9C-71C5-4630-A314-E2A8FFB84BC5}"/>
    <cellStyle name="Normal 8 2 2 2 3 2 4" xfId="9487" xr:uid="{95BE3C8F-4CAB-45B1-B06D-4AEA8FDCC0B3}"/>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DCE75BA8-5C2C-4AF9-8401-0AB00087FB0A}"/>
    <cellStyle name="Normal 8 2 2 2 3 3 2 3" xfId="12045" xr:uid="{E22BE9D1-BCFC-48A3-A591-BC7BF23E5ADE}"/>
    <cellStyle name="Normal 8 2 2 2 3 3 3" xfId="5676" xr:uid="{00000000-0005-0000-0000-0000261C0000}"/>
    <cellStyle name="Normal 8 2 2 2 3 3 3 2" xfId="14118" xr:uid="{5CC7D52B-4648-49B9-8DD4-20D79D1391B6}"/>
    <cellStyle name="Normal 8 2 2 2 3 3 4" xfId="9900" xr:uid="{55EB0E7E-E5FA-4115-A2AF-47E9C626D3C7}"/>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15B85852-AB5A-4D6A-9D31-67CB9ED1CD51}"/>
    <cellStyle name="Normal 8 2 2 2 3 4 2 3" xfId="12458" xr:uid="{2C5E692A-F947-4975-B734-C2893547610F}"/>
    <cellStyle name="Normal 8 2 2 2 3 4 3" xfId="6089" xr:uid="{00000000-0005-0000-0000-00002A1C0000}"/>
    <cellStyle name="Normal 8 2 2 2 3 4 3 2" xfId="14531" xr:uid="{E8CA13E6-B9E2-4EF6-B60D-9C1A0DD7DA77}"/>
    <cellStyle name="Normal 8 2 2 2 3 4 4" xfId="10313" xr:uid="{99E243FD-055D-4179-9629-AF1E04208E1D}"/>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13796197-FD36-4212-9AFC-9D9D4C1E2465}"/>
    <cellStyle name="Normal 8 2 2 2 3 5 2 3" xfId="12871" xr:uid="{C6C683DB-B554-43ED-B984-C9E76238563E}"/>
    <cellStyle name="Normal 8 2 2 2 3 5 3" xfId="6502" xr:uid="{00000000-0005-0000-0000-00002E1C0000}"/>
    <cellStyle name="Normal 8 2 2 2 3 5 3 2" xfId="14944" xr:uid="{FE19339A-2B5E-4C3F-AAE7-8F0090E1F685}"/>
    <cellStyle name="Normal 8 2 2 2 3 5 4" xfId="10726" xr:uid="{7836F219-80F2-457F-951D-6E7C3BC7C375}"/>
    <cellStyle name="Normal 8 2 2 2 3 6" xfId="2631" xr:uid="{00000000-0005-0000-0000-00002F1C0000}"/>
    <cellStyle name="Normal 8 2 2 2 3 6 2" xfId="6915" xr:uid="{00000000-0005-0000-0000-0000301C0000}"/>
    <cellStyle name="Normal 8 2 2 2 3 6 2 2" xfId="15357" xr:uid="{6BCFC844-8245-42BF-ABE8-6CAD66AFC6E8}"/>
    <cellStyle name="Normal 8 2 2 2 3 6 3" xfId="11139" xr:uid="{474F4D47-021B-4DC7-A434-19B466A64D34}"/>
    <cellStyle name="Normal 8 2 2 2 3 7" xfId="4850" xr:uid="{00000000-0005-0000-0000-0000311C0000}"/>
    <cellStyle name="Normal 8 2 2 2 3 7 2" xfId="13292" xr:uid="{22F00CC4-90E5-48A8-8A05-04EE34BB917B}"/>
    <cellStyle name="Normal 8 2 2 2 3 8" xfId="9074" xr:uid="{8E7A7805-4089-4767-A5C5-84AF6C1B5ECA}"/>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EF726605-65A9-4CB0-90D0-9F1EB4D114FD}"/>
    <cellStyle name="Normal 8 2 2 2 4 2 3" xfId="11629" xr:uid="{15941BFB-31F4-4F63-815A-15CCADA169D8}"/>
    <cellStyle name="Normal 8 2 2 2 4 3" xfId="5260" xr:uid="{00000000-0005-0000-0000-0000351C0000}"/>
    <cellStyle name="Normal 8 2 2 2 4 3 2" xfId="13702" xr:uid="{8B7837A9-6F6B-4514-82AD-81498C14EEB3}"/>
    <cellStyle name="Normal 8 2 2 2 4 4" xfId="9484" xr:uid="{CC3D14AA-360F-4B1F-AFC5-4BAA41D5E4F3}"/>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133C5678-166F-4107-94C1-9299ABF2C694}"/>
    <cellStyle name="Normal 8 2 2 2 5 2 3" xfId="12042" xr:uid="{81685559-A239-423E-A5BF-960B7B54ACF2}"/>
    <cellStyle name="Normal 8 2 2 2 5 3" xfId="5673" xr:uid="{00000000-0005-0000-0000-0000391C0000}"/>
    <cellStyle name="Normal 8 2 2 2 5 3 2" xfId="14115" xr:uid="{DD6D11BA-687E-4419-B9CA-70FFA542614E}"/>
    <cellStyle name="Normal 8 2 2 2 5 4" xfId="9897" xr:uid="{5A3A1F41-15F5-4771-B924-697AFB148364}"/>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03620E6E-2673-4121-A145-97E7FBEB7469}"/>
    <cellStyle name="Normal 8 2 2 2 6 2 3" xfId="12455" xr:uid="{A755A199-0708-441B-95AF-6131383DE191}"/>
    <cellStyle name="Normal 8 2 2 2 6 3" xfId="6086" xr:uid="{00000000-0005-0000-0000-00003D1C0000}"/>
    <cellStyle name="Normal 8 2 2 2 6 3 2" xfId="14528" xr:uid="{C7906076-75A6-43F5-9640-1F38692F8F00}"/>
    <cellStyle name="Normal 8 2 2 2 6 4" xfId="10310" xr:uid="{62E1607E-D155-48E3-8FAD-C7282AC44235}"/>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9C549A95-4EB0-4548-B910-2E1CD294D61D}"/>
    <cellStyle name="Normal 8 2 2 2 7 2 3" xfId="12868" xr:uid="{7D7E5B8D-4D62-4A3C-930D-855D2FB9A8F0}"/>
    <cellStyle name="Normal 8 2 2 2 7 3" xfId="6499" xr:uid="{00000000-0005-0000-0000-0000411C0000}"/>
    <cellStyle name="Normal 8 2 2 2 7 3 2" xfId="14941" xr:uid="{12C3B153-E106-483C-8B18-5FD0AC3AAF20}"/>
    <cellStyle name="Normal 8 2 2 2 7 4" xfId="10723" xr:uid="{D0353B7F-EFA5-4E1B-B10F-002C0ECE9711}"/>
    <cellStyle name="Normal 8 2 2 2 8" xfId="2628" xr:uid="{00000000-0005-0000-0000-0000421C0000}"/>
    <cellStyle name="Normal 8 2 2 2 8 2" xfId="6912" xr:uid="{00000000-0005-0000-0000-0000431C0000}"/>
    <cellStyle name="Normal 8 2 2 2 8 2 2" xfId="15354" xr:uid="{EFE8CA9D-528E-482F-BE0D-D2334D424FDE}"/>
    <cellStyle name="Normal 8 2 2 2 8 3" xfId="11136" xr:uid="{C500B65F-5647-4597-8CE8-81296C619723}"/>
    <cellStyle name="Normal 8 2 2 2 9" xfId="4847" xr:uid="{00000000-0005-0000-0000-0000441C0000}"/>
    <cellStyle name="Normal 8 2 2 2 9 2" xfId="13289" xr:uid="{82502074-27C4-4C9E-8D15-AD6B12A9E298}"/>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24713471-89CC-4CB7-A236-14FE7B7B0AB2}"/>
    <cellStyle name="Normal 8 2 2 3 2 2 2 3" xfId="11634" xr:uid="{4458FFBE-9138-452F-B785-87CB43121E82}"/>
    <cellStyle name="Normal 8 2 2 3 2 2 3" xfId="5265" xr:uid="{00000000-0005-0000-0000-00004A1C0000}"/>
    <cellStyle name="Normal 8 2 2 3 2 2 3 2" xfId="13707" xr:uid="{A7DE0170-036A-4F82-875E-B31AC78B93D9}"/>
    <cellStyle name="Normal 8 2 2 3 2 2 4" xfId="9489" xr:uid="{1A0F0A93-FDDB-481D-B53F-2B13F0BF68E1}"/>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18DAE92E-68EA-4D8D-8535-07920A346821}"/>
    <cellStyle name="Normal 8 2 2 3 2 3 2 3" xfId="12047" xr:uid="{13E9E564-52D6-4A4B-89E6-43F89E2D4237}"/>
    <cellStyle name="Normal 8 2 2 3 2 3 3" xfId="5678" xr:uid="{00000000-0005-0000-0000-00004E1C0000}"/>
    <cellStyle name="Normal 8 2 2 3 2 3 3 2" xfId="14120" xr:uid="{4ACAE3FD-E41C-460A-822B-0D83E53B770D}"/>
    <cellStyle name="Normal 8 2 2 3 2 3 4" xfId="9902" xr:uid="{94F09A2D-733E-46A3-B83E-817F329F9E43}"/>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CC5EC8C9-DB2B-45EF-B3CA-6F5FF1E43122}"/>
    <cellStyle name="Normal 8 2 2 3 2 4 2 3" xfId="12460" xr:uid="{AF130D46-229A-4B82-92CF-970E1E90894E}"/>
    <cellStyle name="Normal 8 2 2 3 2 4 3" xfId="6091" xr:uid="{00000000-0005-0000-0000-0000521C0000}"/>
    <cellStyle name="Normal 8 2 2 3 2 4 3 2" xfId="14533" xr:uid="{1D1BEF5E-7DE8-462E-BD32-FB30B22D4911}"/>
    <cellStyle name="Normal 8 2 2 3 2 4 4" xfId="10315" xr:uid="{3E2E3A7C-0824-4989-B690-901476BACB49}"/>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BC3BDF70-6420-4477-9F78-9849A4D2E9C5}"/>
    <cellStyle name="Normal 8 2 2 3 2 5 2 3" xfId="12873" xr:uid="{119146D1-4731-4BC3-9121-6EE96D4DF784}"/>
    <cellStyle name="Normal 8 2 2 3 2 5 3" xfId="6504" xr:uid="{00000000-0005-0000-0000-0000561C0000}"/>
    <cellStyle name="Normal 8 2 2 3 2 5 3 2" xfId="14946" xr:uid="{36F80404-6237-4F83-8DD1-37A6071C3A3A}"/>
    <cellStyle name="Normal 8 2 2 3 2 5 4" xfId="10728" xr:uid="{FB14805C-2B00-44E5-8E07-5537F9645307}"/>
    <cellStyle name="Normal 8 2 2 3 2 6" xfId="2633" xr:uid="{00000000-0005-0000-0000-0000571C0000}"/>
    <cellStyle name="Normal 8 2 2 3 2 6 2" xfId="6917" xr:uid="{00000000-0005-0000-0000-0000581C0000}"/>
    <cellStyle name="Normal 8 2 2 3 2 6 2 2" xfId="15359" xr:uid="{6F33E60B-1BAB-4AE0-8BC7-126114469489}"/>
    <cellStyle name="Normal 8 2 2 3 2 6 3" xfId="11141" xr:uid="{55B6847F-2130-4553-AC46-A8ED35C31CA9}"/>
    <cellStyle name="Normal 8 2 2 3 2 7" xfId="4852" xr:uid="{00000000-0005-0000-0000-0000591C0000}"/>
    <cellStyle name="Normal 8 2 2 3 2 7 2" xfId="13294" xr:uid="{0B680D18-3D88-40EC-935B-133C1DD689AC}"/>
    <cellStyle name="Normal 8 2 2 3 2 8" xfId="9076" xr:uid="{DD6946A7-6F4A-4CD8-A7C2-27DF56859361}"/>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895F48E3-884D-4D06-8070-3FA004904D0F}"/>
    <cellStyle name="Normal 8 2 2 3 3 2 3" xfId="11633" xr:uid="{DFA25A81-E275-4138-9BD6-242110F41AAB}"/>
    <cellStyle name="Normal 8 2 2 3 3 3" xfId="5264" xr:uid="{00000000-0005-0000-0000-00005D1C0000}"/>
    <cellStyle name="Normal 8 2 2 3 3 3 2" xfId="13706" xr:uid="{A7DE83C1-980C-4506-84B5-C9669C3BD608}"/>
    <cellStyle name="Normal 8 2 2 3 3 4" xfId="9488" xr:uid="{1065A3D6-9971-49F7-A689-30AD9DA32D3A}"/>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B24FAFBD-356A-459F-A527-9D792EC5B882}"/>
    <cellStyle name="Normal 8 2 2 3 4 2 3" xfId="12046" xr:uid="{5852951F-94E1-492D-9EC1-678272D17FAC}"/>
    <cellStyle name="Normal 8 2 2 3 4 3" xfId="5677" xr:uid="{00000000-0005-0000-0000-0000611C0000}"/>
    <cellStyle name="Normal 8 2 2 3 4 3 2" xfId="14119" xr:uid="{BB8D6FA4-A176-4B4F-AAB1-52742F083BD7}"/>
    <cellStyle name="Normal 8 2 2 3 4 4" xfId="9901" xr:uid="{FEDEDBE9-16B4-471B-BD4C-6CC536DEA2D8}"/>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4B95A2C2-0FD0-421E-8C30-BD74C0782AA6}"/>
    <cellStyle name="Normal 8 2 2 3 5 2 3" xfId="12459" xr:uid="{E1C3F773-5D56-41B2-AAA5-4F7385374753}"/>
    <cellStyle name="Normal 8 2 2 3 5 3" xfId="6090" xr:uid="{00000000-0005-0000-0000-0000651C0000}"/>
    <cellStyle name="Normal 8 2 2 3 5 3 2" xfId="14532" xr:uid="{E5701C16-3488-44AD-AFF1-0376516EA9BE}"/>
    <cellStyle name="Normal 8 2 2 3 5 4" xfId="10314" xr:uid="{61F0238C-BF17-4657-90E4-2E58ED98BFFC}"/>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354366A0-580C-4FF9-980C-933083EED7A6}"/>
    <cellStyle name="Normal 8 2 2 3 6 2 3" xfId="12872" xr:uid="{C34E3517-61A8-4AF1-A24A-2F6F5726DADD}"/>
    <cellStyle name="Normal 8 2 2 3 6 3" xfId="6503" xr:uid="{00000000-0005-0000-0000-0000691C0000}"/>
    <cellStyle name="Normal 8 2 2 3 6 3 2" xfId="14945" xr:uid="{6989C7B2-E234-4008-85C2-238FDA67B69E}"/>
    <cellStyle name="Normal 8 2 2 3 6 4" xfId="10727" xr:uid="{A0B236F3-7BC6-4642-8255-E251FDBDFE27}"/>
    <cellStyle name="Normal 8 2 2 3 7" xfId="2632" xr:uid="{00000000-0005-0000-0000-00006A1C0000}"/>
    <cellStyle name="Normal 8 2 2 3 7 2" xfId="6916" xr:uid="{00000000-0005-0000-0000-00006B1C0000}"/>
    <cellStyle name="Normal 8 2 2 3 7 2 2" xfId="15358" xr:uid="{83A069C7-C4E0-402A-90C6-E5F9087541BD}"/>
    <cellStyle name="Normal 8 2 2 3 7 3" xfId="11140" xr:uid="{8272D79B-4C06-4C4C-820E-9C43013C2F2F}"/>
    <cellStyle name="Normal 8 2 2 3 8" xfId="4851" xr:uid="{00000000-0005-0000-0000-00006C1C0000}"/>
    <cellStyle name="Normal 8 2 2 3 8 2" xfId="13293" xr:uid="{7CBFF321-E7EB-4990-A084-85EAD559D756}"/>
    <cellStyle name="Normal 8 2 2 3 9" xfId="9075" xr:uid="{78D8F48E-D33F-4088-930C-8A2321EE6F94}"/>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BD3CB3C5-A253-4B37-B79C-531D03388EB3}"/>
    <cellStyle name="Normal 8 2 2 4 2 2 3" xfId="11635" xr:uid="{C9EE291E-9B9F-43A0-A46C-2B9CB77B3BFA}"/>
    <cellStyle name="Normal 8 2 2 4 2 3" xfId="5266" xr:uid="{00000000-0005-0000-0000-0000711C0000}"/>
    <cellStyle name="Normal 8 2 2 4 2 3 2" xfId="13708" xr:uid="{65FEA851-EEA5-406B-9FA5-9742E5556612}"/>
    <cellStyle name="Normal 8 2 2 4 2 4" xfId="9490" xr:uid="{FCD4B02C-83D5-480C-BF52-7A840621F7A6}"/>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DC47950A-2D75-48DE-84FB-999DDB13560C}"/>
    <cellStyle name="Normal 8 2 2 4 3 2 3" xfId="12048" xr:uid="{46E7909B-72C1-429C-B3ED-0B0C072F7E9E}"/>
    <cellStyle name="Normal 8 2 2 4 3 3" xfId="5679" xr:uid="{00000000-0005-0000-0000-0000751C0000}"/>
    <cellStyle name="Normal 8 2 2 4 3 3 2" xfId="14121" xr:uid="{FBB127C9-9F08-4270-8F6D-42524DCFDDEB}"/>
    <cellStyle name="Normal 8 2 2 4 3 4" xfId="9903" xr:uid="{B366E96E-A16E-4D52-9855-6679F28B873E}"/>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D3594953-2299-4DDE-9D92-1636B6918CC7}"/>
    <cellStyle name="Normal 8 2 2 4 4 2 3" xfId="12461" xr:uid="{97859371-D97D-4C86-ACA2-78A006269DB4}"/>
    <cellStyle name="Normal 8 2 2 4 4 3" xfId="6092" xr:uid="{00000000-0005-0000-0000-0000791C0000}"/>
    <cellStyle name="Normal 8 2 2 4 4 3 2" xfId="14534" xr:uid="{B3DB7F51-0E0C-4B3E-B732-53BE14A6B61A}"/>
    <cellStyle name="Normal 8 2 2 4 4 4" xfId="10316" xr:uid="{B2B1EF2F-9FAE-4F8F-A446-1F1A5CFB5FA1}"/>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BB9FE09D-C142-4595-B1C1-A7F8A6C095F2}"/>
    <cellStyle name="Normal 8 2 2 4 5 2 3" xfId="12874" xr:uid="{52905C90-E824-4EE7-8D55-6BFA082E57F0}"/>
    <cellStyle name="Normal 8 2 2 4 5 3" xfId="6505" xr:uid="{00000000-0005-0000-0000-00007D1C0000}"/>
    <cellStyle name="Normal 8 2 2 4 5 3 2" xfId="14947" xr:uid="{F50A4B56-7A77-46F1-B7E3-8B259BC185DD}"/>
    <cellStyle name="Normal 8 2 2 4 5 4" xfId="10729" xr:uid="{6174CE5E-4AAF-4238-9F01-40A35EE5A6F8}"/>
    <cellStyle name="Normal 8 2 2 4 6" xfId="2634" xr:uid="{00000000-0005-0000-0000-00007E1C0000}"/>
    <cellStyle name="Normal 8 2 2 4 6 2" xfId="6918" xr:uid="{00000000-0005-0000-0000-00007F1C0000}"/>
    <cellStyle name="Normal 8 2 2 4 6 2 2" xfId="15360" xr:uid="{EA761AC0-2FD5-41C9-BDA9-5D6FFA5AEBB3}"/>
    <cellStyle name="Normal 8 2 2 4 6 3" xfId="11142" xr:uid="{B2B6759E-12E7-4B94-B964-38ED05423290}"/>
    <cellStyle name="Normal 8 2 2 4 7" xfId="4853" xr:uid="{00000000-0005-0000-0000-0000801C0000}"/>
    <cellStyle name="Normal 8 2 2 4 7 2" xfId="13295" xr:uid="{CFA65900-4DFB-4BF9-966A-30485F0860D4}"/>
    <cellStyle name="Normal 8 2 2 4 8" xfId="9077" xr:uid="{AC0EB69E-F36A-45E6-B1D6-546E881608FD}"/>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468C213D-288E-41E1-9058-68B6A5E7941F}"/>
    <cellStyle name="Normal 8 2 2 5 2 3" xfId="11628" xr:uid="{D9D1980F-22EB-4526-BA7F-5CECAC7CEBD9}"/>
    <cellStyle name="Normal 8 2 2 5 3" xfId="5259" xr:uid="{00000000-0005-0000-0000-0000841C0000}"/>
    <cellStyle name="Normal 8 2 2 5 3 2" xfId="13701" xr:uid="{2DCFBE37-ECCE-4BE1-9C71-052969392908}"/>
    <cellStyle name="Normal 8 2 2 5 4" xfId="9483" xr:uid="{4FA47F01-56C3-4816-9C7F-859AE176550F}"/>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E2DDACD4-3267-4859-A6C8-C19C41069AB7}"/>
    <cellStyle name="Normal 8 2 2 6 2 3" xfId="12041" xr:uid="{768DA9FB-E0A4-4C07-AF82-A95975A9B411}"/>
    <cellStyle name="Normal 8 2 2 6 3" xfId="5672" xr:uid="{00000000-0005-0000-0000-0000881C0000}"/>
    <cellStyle name="Normal 8 2 2 6 3 2" xfId="14114" xr:uid="{108372C1-1A1B-41C6-8DFE-22D687A266E5}"/>
    <cellStyle name="Normal 8 2 2 6 4" xfId="9896" xr:uid="{636BC5B7-20C8-480E-952F-CAA9FD291F71}"/>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5FA1255C-841A-4C68-90AD-E05242624109}"/>
    <cellStyle name="Normal 8 2 2 7 2 3" xfId="12454" xr:uid="{161F38D0-F9C9-4265-9A59-77259C07EC18}"/>
    <cellStyle name="Normal 8 2 2 7 3" xfId="6085" xr:uid="{00000000-0005-0000-0000-00008C1C0000}"/>
    <cellStyle name="Normal 8 2 2 7 3 2" xfId="14527" xr:uid="{E35FDCFC-F283-4033-BBA7-28F2631AF09E}"/>
    <cellStyle name="Normal 8 2 2 7 4" xfId="10309" xr:uid="{069A1E03-2B14-4E21-B802-34DCF60890E8}"/>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F44E4577-AB4B-4869-9E80-D57785D0EF0A}"/>
    <cellStyle name="Normal 8 2 2 8 2 3" xfId="12867" xr:uid="{A056F959-25EA-4353-9F24-16C3F1FEF3C7}"/>
    <cellStyle name="Normal 8 2 2 8 3" xfId="6498" xr:uid="{00000000-0005-0000-0000-0000901C0000}"/>
    <cellStyle name="Normal 8 2 2 8 3 2" xfId="14940" xr:uid="{C9332373-A567-4910-8513-E0A3C8666A7E}"/>
    <cellStyle name="Normal 8 2 2 8 4" xfId="10722" xr:uid="{02FA80E7-515C-4049-AE7C-172F00662F51}"/>
    <cellStyle name="Normal 8 2 2 9" xfId="2627" xr:uid="{00000000-0005-0000-0000-0000911C0000}"/>
    <cellStyle name="Normal 8 2 2 9 2" xfId="6911" xr:uid="{00000000-0005-0000-0000-0000921C0000}"/>
    <cellStyle name="Normal 8 2 2 9 2 2" xfId="15353" xr:uid="{378992FA-0818-4315-A1C9-04313B0CD1B1}"/>
    <cellStyle name="Normal 8 2 2 9 3" xfId="11135" xr:uid="{941EF002-D0B9-4C60-914D-959004EE8B85}"/>
    <cellStyle name="Normal 8 2 3" xfId="488" xr:uid="{00000000-0005-0000-0000-0000931C0000}"/>
    <cellStyle name="Normal 8 2 3 10" xfId="9078" xr:uid="{0E5BB2D5-9BC2-4ED3-8951-993D096A0CF3}"/>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7D729661-7059-4E3A-A638-0472632EA2AD}"/>
    <cellStyle name="Normal 8 2 3 2 2 2 2 3" xfId="11638" xr:uid="{3656BD80-93BC-4CA5-ADAA-A1F4891B02B7}"/>
    <cellStyle name="Normal 8 2 3 2 2 2 3" xfId="5269" xr:uid="{00000000-0005-0000-0000-0000991C0000}"/>
    <cellStyle name="Normal 8 2 3 2 2 2 3 2" xfId="13711" xr:uid="{63AEFB85-6A39-491C-96FE-20703A9CCD1B}"/>
    <cellStyle name="Normal 8 2 3 2 2 2 4" xfId="9493" xr:uid="{26851E5D-6408-4F2B-A455-0829A88D00B6}"/>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B6F3A41C-42AF-483C-9AB9-45D4545E8FCB}"/>
    <cellStyle name="Normal 8 2 3 2 2 3 2 3" xfId="12051" xr:uid="{F876F982-8B92-459C-8797-38BE2C94E367}"/>
    <cellStyle name="Normal 8 2 3 2 2 3 3" xfId="5682" xr:uid="{00000000-0005-0000-0000-00009D1C0000}"/>
    <cellStyle name="Normal 8 2 3 2 2 3 3 2" xfId="14124" xr:uid="{9E1E7278-3519-458F-A7FC-05FD95CB4DED}"/>
    <cellStyle name="Normal 8 2 3 2 2 3 4" xfId="9906" xr:uid="{2DB66CAF-D88B-4601-B4EB-725A32D12D57}"/>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D21368E6-C975-4511-83AD-9F59BB75F9E8}"/>
    <cellStyle name="Normal 8 2 3 2 2 4 2 3" xfId="12464" xr:uid="{455FB382-9239-499D-8E8B-688B1FC173FF}"/>
    <cellStyle name="Normal 8 2 3 2 2 4 3" xfId="6095" xr:uid="{00000000-0005-0000-0000-0000A11C0000}"/>
    <cellStyle name="Normal 8 2 3 2 2 4 3 2" xfId="14537" xr:uid="{AB83954F-5075-4069-A70E-97EFF55B1D1B}"/>
    <cellStyle name="Normal 8 2 3 2 2 4 4" xfId="10319" xr:uid="{6A96DACE-A8E6-4B64-80D4-3F6BBA110E82}"/>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01FD4F14-113F-4BA0-8CD2-730E7845013B}"/>
    <cellStyle name="Normal 8 2 3 2 2 5 2 3" xfId="12877" xr:uid="{512A11D4-A9A3-4D04-8045-429CEDD9D5B9}"/>
    <cellStyle name="Normal 8 2 3 2 2 5 3" xfId="6508" xr:uid="{00000000-0005-0000-0000-0000A51C0000}"/>
    <cellStyle name="Normal 8 2 3 2 2 5 3 2" xfId="14950" xr:uid="{4A0A138C-7EED-452A-A630-BB1CDF6F4461}"/>
    <cellStyle name="Normal 8 2 3 2 2 5 4" xfId="10732" xr:uid="{D8A75925-C5C5-4E73-BB38-F3B96008BFAB}"/>
    <cellStyle name="Normal 8 2 3 2 2 6" xfId="2637" xr:uid="{00000000-0005-0000-0000-0000A61C0000}"/>
    <cellStyle name="Normal 8 2 3 2 2 6 2" xfId="6921" xr:uid="{00000000-0005-0000-0000-0000A71C0000}"/>
    <cellStyle name="Normal 8 2 3 2 2 6 2 2" xfId="15363" xr:uid="{EF2409A0-3DF7-4FA6-ADE8-D11E83CFD054}"/>
    <cellStyle name="Normal 8 2 3 2 2 6 3" xfId="11145" xr:uid="{A6DA1B4F-081A-44AE-AAD2-738374ACD172}"/>
    <cellStyle name="Normal 8 2 3 2 2 7" xfId="4856" xr:uid="{00000000-0005-0000-0000-0000A81C0000}"/>
    <cellStyle name="Normal 8 2 3 2 2 7 2" xfId="13298" xr:uid="{48C77E3A-9833-4102-A5E2-4F69B04FAB37}"/>
    <cellStyle name="Normal 8 2 3 2 2 8" xfId="9080" xr:uid="{B19D5786-C6FD-4FEF-B070-0528279FB505}"/>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F009C324-C491-4185-AF66-6A2B576E24A5}"/>
    <cellStyle name="Normal 8 2 3 2 3 2 3" xfId="11637" xr:uid="{B8601820-E805-4E05-B00E-1E695344530E}"/>
    <cellStyle name="Normal 8 2 3 2 3 3" xfId="5268" xr:uid="{00000000-0005-0000-0000-0000AC1C0000}"/>
    <cellStyle name="Normal 8 2 3 2 3 3 2" xfId="13710" xr:uid="{E1487D95-7858-4791-A4B3-11E7F9E8245C}"/>
    <cellStyle name="Normal 8 2 3 2 3 4" xfId="9492" xr:uid="{2C31A45F-30CD-4DA2-9929-D6E76F9BEB93}"/>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8B49DD45-FE4A-46AE-AECC-46EA8432690E}"/>
    <cellStyle name="Normal 8 2 3 2 4 2 3" xfId="12050" xr:uid="{2ED9E3E2-9028-4BB1-8D5B-9C8A979FB126}"/>
    <cellStyle name="Normal 8 2 3 2 4 3" xfId="5681" xr:uid="{00000000-0005-0000-0000-0000B01C0000}"/>
    <cellStyle name="Normal 8 2 3 2 4 3 2" xfId="14123" xr:uid="{7D3831BC-93A3-4187-9029-065D5CA650BB}"/>
    <cellStyle name="Normal 8 2 3 2 4 4" xfId="9905" xr:uid="{C0493A31-1A60-4F35-B15D-AE7E0AF1C216}"/>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8F31D893-E20A-485D-9C09-D35A011EBE0B}"/>
    <cellStyle name="Normal 8 2 3 2 5 2 3" xfId="12463" xr:uid="{A44AADB4-9299-494C-8ED5-B7D09B384ED1}"/>
    <cellStyle name="Normal 8 2 3 2 5 3" xfId="6094" xr:uid="{00000000-0005-0000-0000-0000B41C0000}"/>
    <cellStyle name="Normal 8 2 3 2 5 3 2" xfId="14536" xr:uid="{DA4CA747-6313-46CF-AFAF-DB79BED1C40F}"/>
    <cellStyle name="Normal 8 2 3 2 5 4" xfId="10318" xr:uid="{57D4936A-0441-4CE4-9959-F3F96D2A2FE7}"/>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5AA8930C-EA12-4DBB-8871-B853B5C781E9}"/>
    <cellStyle name="Normal 8 2 3 2 6 2 3" xfId="12876" xr:uid="{AFC8EAD0-FD8D-4525-9C81-547715799FD6}"/>
    <cellStyle name="Normal 8 2 3 2 6 3" xfId="6507" xr:uid="{00000000-0005-0000-0000-0000B81C0000}"/>
    <cellStyle name="Normal 8 2 3 2 6 3 2" xfId="14949" xr:uid="{F17AFC11-A64A-49F7-AB24-85F8ECDA588C}"/>
    <cellStyle name="Normal 8 2 3 2 6 4" xfId="10731" xr:uid="{632CA004-33C7-4B5C-BB00-5C044A058EDB}"/>
    <cellStyle name="Normal 8 2 3 2 7" xfId="2636" xr:uid="{00000000-0005-0000-0000-0000B91C0000}"/>
    <cellStyle name="Normal 8 2 3 2 7 2" xfId="6920" xr:uid="{00000000-0005-0000-0000-0000BA1C0000}"/>
    <cellStyle name="Normal 8 2 3 2 7 2 2" xfId="15362" xr:uid="{B159381C-A37E-41F4-9920-46E308622A1B}"/>
    <cellStyle name="Normal 8 2 3 2 7 3" xfId="11144" xr:uid="{8D227EEF-0482-4002-BAA8-DBB8AC014D38}"/>
    <cellStyle name="Normal 8 2 3 2 8" xfId="4855" xr:uid="{00000000-0005-0000-0000-0000BB1C0000}"/>
    <cellStyle name="Normal 8 2 3 2 8 2" xfId="13297" xr:uid="{0A9F339D-1274-4238-9BED-5A63EA52DBB4}"/>
    <cellStyle name="Normal 8 2 3 2 9" xfId="9079" xr:uid="{A4174FB7-5B4A-4086-B8C0-4B0F3C0DD757}"/>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A4A56B43-8A8B-40BE-86EA-C66B996E674E}"/>
    <cellStyle name="Normal 8 2 3 3 2 2 3" xfId="11639" xr:uid="{6AFE9084-6162-4A64-8BF0-C60564DBB838}"/>
    <cellStyle name="Normal 8 2 3 3 2 3" xfId="5270" xr:uid="{00000000-0005-0000-0000-0000C01C0000}"/>
    <cellStyle name="Normal 8 2 3 3 2 3 2" xfId="13712" xr:uid="{959D9A94-738D-4C93-88BC-43E24AE3CA40}"/>
    <cellStyle name="Normal 8 2 3 3 2 4" xfId="9494" xr:uid="{857DE955-87BA-418F-A52B-D0C51318808B}"/>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0F67AD7F-C4BC-450E-AF75-F75692AC529D}"/>
    <cellStyle name="Normal 8 2 3 3 3 2 3" xfId="12052" xr:uid="{558FF9AD-3060-4E27-B52B-4527D68F0BC0}"/>
    <cellStyle name="Normal 8 2 3 3 3 3" xfId="5683" xr:uid="{00000000-0005-0000-0000-0000C41C0000}"/>
    <cellStyle name="Normal 8 2 3 3 3 3 2" xfId="14125" xr:uid="{A67F61CE-E05D-4E48-8E1C-5EA06AE82576}"/>
    <cellStyle name="Normal 8 2 3 3 3 4" xfId="9907" xr:uid="{6F3DB542-8856-47E7-B94D-6A15EE4E3524}"/>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EC9DA9C8-45AE-4CFB-9370-4915769D43AE}"/>
    <cellStyle name="Normal 8 2 3 3 4 2 3" xfId="12465" xr:uid="{C7329528-40D6-4B8B-AB9D-542036EEEE60}"/>
    <cellStyle name="Normal 8 2 3 3 4 3" xfId="6096" xr:uid="{00000000-0005-0000-0000-0000C81C0000}"/>
    <cellStyle name="Normal 8 2 3 3 4 3 2" xfId="14538" xr:uid="{BF178D3D-24BB-4F72-8318-824C65774EC1}"/>
    <cellStyle name="Normal 8 2 3 3 4 4" xfId="10320" xr:uid="{A188A06C-5AC8-4D98-8ACD-D8DA2DA21B2C}"/>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B4F40C93-FC4E-4415-ACB3-25A18E465B32}"/>
    <cellStyle name="Normal 8 2 3 3 5 2 3" xfId="12878" xr:uid="{F6BEE7DE-E50B-4087-A820-5D6EC0E1CE75}"/>
    <cellStyle name="Normal 8 2 3 3 5 3" xfId="6509" xr:uid="{00000000-0005-0000-0000-0000CC1C0000}"/>
    <cellStyle name="Normal 8 2 3 3 5 3 2" xfId="14951" xr:uid="{D2374535-18C3-46C3-9B29-EC5E92A10B29}"/>
    <cellStyle name="Normal 8 2 3 3 5 4" xfId="10733" xr:uid="{ADA72D2F-08FE-45C4-9B69-F18D39B0D748}"/>
    <cellStyle name="Normal 8 2 3 3 6" xfId="2638" xr:uid="{00000000-0005-0000-0000-0000CD1C0000}"/>
    <cellStyle name="Normal 8 2 3 3 6 2" xfId="6922" xr:uid="{00000000-0005-0000-0000-0000CE1C0000}"/>
    <cellStyle name="Normal 8 2 3 3 6 2 2" xfId="15364" xr:uid="{AA37B023-E43F-4871-ACE2-2CD2D1CDE7EF}"/>
    <cellStyle name="Normal 8 2 3 3 6 3" xfId="11146" xr:uid="{00594943-C0D8-43F1-86D2-185231AA4972}"/>
    <cellStyle name="Normal 8 2 3 3 7" xfId="4857" xr:uid="{00000000-0005-0000-0000-0000CF1C0000}"/>
    <cellStyle name="Normal 8 2 3 3 7 2" xfId="13299" xr:uid="{D35243BC-6981-4273-B231-4A4708E3710C}"/>
    <cellStyle name="Normal 8 2 3 3 8" xfId="9081" xr:uid="{0BA494D6-EBDB-47B7-8F2F-FCA7096D78BA}"/>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3B5F7757-E666-4FB5-BC9D-AB4A40074C62}"/>
    <cellStyle name="Normal 8 2 3 4 2 3" xfId="11636" xr:uid="{D5018CD7-0AE0-4D4F-BE26-C02D7F2D736A}"/>
    <cellStyle name="Normal 8 2 3 4 3" xfId="5267" xr:uid="{00000000-0005-0000-0000-0000D31C0000}"/>
    <cellStyle name="Normal 8 2 3 4 3 2" xfId="13709" xr:uid="{C56C33A2-E445-41AB-8E7B-2367F72436E3}"/>
    <cellStyle name="Normal 8 2 3 4 4" xfId="9491" xr:uid="{9F27BD1C-74AC-4430-8D03-6B74D858EF14}"/>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B372833B-25AC-43ED-B8F5-63D857965894}"/>
    <cellStyle name="Normal 8 2 3 5 2 3" xfId="12049" xr:uid="{6F5B8CC3-A531-4651-BECF-2224CDDD194E}"/>
    <cellStyle name="Normal 8 2 3 5 3" xfId="5680" xr:uid="{00000000-0005-0000-0000-0000D71C0000}"/>
    <cellStyle name="Normal 8 2 3 5 3 2" xfId="14122" xr:uid="{76CE4549-A128-4CD9-83EC-41E172D95124}"/>
    <cellStyle name="Normal 8 2 3 5 4" xfId="9904" xr:uid="{5711324C-930E-45D4-886C-0489BA34DFAC}"/>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D02B3162-33B3-43F6-A7A6-E339784F81B7}"/>
    <cellStyle name="Normal 8 2 3 6 2 3" xfId="12462" xr:uid="{3E392FB2-8440-4F26-BDE6-8C15B526E463}"/>
    <cellStyle name="Normal 8 2 3 6 3" xfId="6093" xr:uid="{00000000-0005-0000-0000-0000DB1C0000}"/>
    <cellStyle name="Normal 8 2 3 6 3 2" xfId="14535" xr:uid="{160901E1-FFAF-4BB6-895A-B54FDBE7D009}"/>
    <cellStyle name="Normal 8 2 3 6 4" xfId="10317" xr:uid="{D7901F42-15C4-47A1-8EA7-7764886E1749}"/>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9F1A80F1-6865-48B5-8B1A-5A984181F294}"/>
    <cellStyle name="Normal 8 2 3 7 2 3" xfId="12875" xr:uid="{CE1472E8-1593-436F-93E1-68BC7895E598}"/>
    <cellStyle name="Normal 8 2 3 7 3" xfId="6506" xr:uid="{00000000-0005-0000-0000-0000DF1C0000}"/>
    <cellStyle name="Normal 8 2 3 7 3 2" xfId="14948" xr:uid="{923B24C1-0A10-491C-B31B-D97B80CD8A17}"/>
    <cellStyle name="Normal 8 2 3 7 4" xfId="10730" xr:uid="{37998A8A-AC3B-4BCD-A584-9DCC0A70E034}"/>
    <cellStyle name="Normal 8 2 3 8" xfId="2635" xr:uid="{00000000-0005-0000-0000-0000E01C0000}"/>
    <cellStyle name="Normal 8 2 3 8 2" xfId="6919" xr:uid="{00000000-0005-0000-0000-0000E11C0000}"/>
    <cellStyle name="Normal 8 2 3 8 2 2" xfId="15361" xr:uid="{1E033B50-C48B-44B7-83FC-DC7E420D6F32}"/>
    <cellStyle name="Normal 8 2 3 8 3" xfId="11143" xr:uid="{2CCA434A-C124-42E7-9CEE-1A82D513A03F}"/>
    <cellStyle name="Normal 8 2 3 9" xfId="4854" xr:uid="{00000000-0005-0000-0000-0000E21C0000}"/>
    <cellStyle name="Normal 8 2 3 9 2" xfId="13296" xr:uid="{2CC3E8E1-ED8B-4F38-A6CC-8DDB50972ACD}"/>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9D8ED11C-7C1A-4EF0-BB03-147A19A06026}"/>
    <cellStyle name="Normal 8 2 4 2 2 2 3" xfId="11641" xr:uid="{19615B25-1F08-4D27-9A7B-ACC515D65377}"/>
    <cellStyle name="Normal 8 2 4 2 2 3" xfId="5272" xr:uid="{00000000-0005-0000-0000-0000E81C0000}"/>
    <cellStyle name="Normal 8 2 4 2 2 3 2" xfId="13714" xr:uid="{F10BFC4E-EED0-43B4-B0F1-4695DD07B3BC}"/>
    <cellStyle name="Normal 8 2 4 2 2 4" xfId="9496" xr:uid="{5304A2E1-E66D-4B0A-986B-500AB8641558}"/>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8E75CD95-4D30-4FA6-B3BF-0A7D2E10A1CD}"/>
    <cellStyle name="Normal 8 2 4 2 3 2 3" xfId="12054" xr:uid="{9B129DC4-647D-44AC-9C10-E18C8254293B}"/>
    <cellStyle name="Normal 8 2 4 2 3 3" xfId="5685" xr:uid="{00000000-0005-0000-0000-0000EC1C0000}"/>
    <cellStyle name="Normal 8 2 4 2 3 3 2" xfId="14127" xr:uid="{5947EB83-B63C-43CC-B1B8-59F440CE1108}"/>
    <cellStyle name="Normal 8 2 4 2 3 4" xfId="9909" xr:uid="{54581DBA-4287-4751-824C-72232DEDE6F0}"/>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378332E7-395F-43E0-BBA9-7254FB996AFB}"/>
    <cellStyle name="Normal 8 2 4 2 4 2 3" xfId="12467" xr:uid="{EF4A91B6-BDC2-43AF-9E4A-EFB1824AF27A}"/>
    <cellStyle name="Normal 8 2 4 2 4 3" xfId="6098" xr:uid="{00000000-0005-0000-0000-0000F01C0000}"/>
    <cellStyle name="Normal 8 2 4 2 4 3 2" xfId="14540" xr:uid="{2CF10700-3A60-4A0F-8E29-9049DD14C13A}"/>
    <cellStyle name="Normal 8 2 4 2 4 4" xfId="10322" xr:uid="{20BD95BE-CB93-4659-AF07-99F782F7E629}"/>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04911390-562B-41CD-8E06-1367A123B978}"/>
    <cellStyle name="Normal 8 2 4 2 5 2 3" xfId="12880" xr:uid="{040F50EB-C7CF-4945-8D22-63DFA8CE531B}"/>
    <cellStyle name="Normal 8 2 4 2 5 3" xfId="6511" xr:uid="{00000000-0005-0000-0000-0000F41C0000}"/>
    <cellStyle name="Normal 8 2 4 2 5 3 2" xfId="14953" xr:uid="{D03EA4BC-22EB-42EE-8056-FDC71B400668}"/>
    <cellStyle name="Normal 8 2 4 2 5 4" xfId="10735" xr:uid="{BDCB71A2-D825-4EB1-B3FD-6B06588BEEAB}"/>
    <cellStyle name="Normal 8 2 4 2 6" xfId="2640" xr:uid="{00000000-0005-0000-0000-0000F51C0000}"/>
    <cellStyle name="Normal 8 2 4 2 6 2" xfId="6924" xr:uid="{00000000-0005-0000-0000-0000F61C0000}"/>
    <cellStyle name="Normal 8 2 4 2 6 2 2" xfId="15366" xr:uid="{E5E6C24B-2FBA-4A21-B07A-CE281176C8A4}"/>
    <cellStyle name="Normal 8 2 4 2 6 3" xfId="11148" xr:uid="{8F612E35-95FA-4149-88FD-6C4B74FCD44D}"/>
    <cellStyle name="Normal 8 2 4 2 7" xfId="4859" xr:uid="{00000000-0005-0000-0000-0000F71C0000}"/>
    <cellStyle name="Normal 8 2 4 2 7 2" xfId="13301" xr:uid="{936AC4E6-56FB-44C6-884A-696D226FFDA9}"/>
    <cellStyle name="Normal 8 2 4 2 8" xfId="9083" xr:uid="{28AD2EA3-AC68-4C22-BB71-3B84B175920C}"/>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2F21EC9E-8AD5-448C-B7AF-D57A1BF43C2E}"/>
    <cellStyle name="Normal 8 2 4 3 2 3" xfId="11640" xr:uid="{E6A354F7-FEC4-4E15-8B4C-E930E6ADDA0F}"/>
    <cellStyle name="Normal 8 2 4 3 3" xfId="5271" xr:uid="{00000000-0005-0000-0000-0000FB1C0000}"/>
    <cellStyle name="Normal 8 2 4 3 3 2" xfId="13713" xr:uid="{36A50856-2A40-4BA8-B462-D2A86B93DD30}"/>
    <cellStyle name="Normal 8 2 4 3 4" xfId="9495" xr:uid="{725666A0-36CF-40E8-B4A5-240E8D012933}"/>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7EF9F279-EEB5-442C-A466-69DAA270672E}"/>
    <cellStyle name="Normal 8 2 4 4 2 3" xfId="12053" xr:uid="{58D718E4-E85B-49AF-8E3B-C30E9712DE94}"/>
    <cellStyle name="Normal 8 2 4 4 3" xfId="5684" xr:uid="{00000000-0005-0000-0000-0000FF1C0000}"/>
    <cellStyle name="Normal 8 2 4 4 3 2" xfId="14126" xr:uid="{6D119C37-673F-4B11-BE1A-7881C443F813}"/>
    <cellStyle name="Normal 8 2 4 4 4" xfId="9908" xr:uid="{7BD2EDF9-FD8B-41CF-A908-B46EF7096D54}"/>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F7880F9F-A7E8-45ED-BBC6-84F5A3B661F5}"/>
    <cellStyle name="Normal 8 2 4 5 2 3" xfId="12466" xr:uid="{EC51C439-7288-4913-A0C3-D48658A5FFF2}"/>
    <cellStyle name="Normal 8 2 4 5 3" xfId="6097" xr:uid="{00000000-0005-0000-0000-0000031D0000}"/>
    <cellStyle name="Normal 8 2 4 5 3 2" xfId="14539" xr:uid="{995B512A-BBA3-4377-87AE-E67571E3605A}"/>
    <cellStyle name="Normal 8 2 4 5 4" xfId="10321" xr:uid="{87A8C3D3-8368-44B1-BF89-9A11052A6338}"/>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588092F3-0484-4575-AB46-C0E0E2CC0BD9}"/>
    <cellStyle name="Normal 8 2 4 6 2 3" xfId="12879" xr:uid="{7ED96EF4-5295-433B-BCFE-C11FF4FE05F1}"/>
    <cellStyle name="Normal 8 2 4 6 3" xfId="6510" xr:uid="{00000000-0005-0000-0000-0000071D0000}"/>
    <cellStyle name="Normal 8 2 4 6 3 2" xfId="14952" xr:uid="{89AC7D0E-037B-48EE-B23A-2490B4AE59F6}"/>
    <cellStyle name="Normal 8 2 4 6 4" xfId="10734" xr:uid="{E6473D91-7F3E-41A1-B27A-DBB4619AF5E1}"/>
    <cellStyle name="Normal 8 2 4 7" xfId="2639" xr:uid="{00000000-0005-0000-0000-0000081D0000}"/>
    <cellStyle name="Normal 8 2 4 7 2" xfId="6923" xr:uid="{00000000-0005-0000-0000-0000091D0000}"/>
    <cellStyle name="Normal 8 2 4 7 2 2" xfId="15365" xr:uid="{2245E23E-A6C1-4F67-8E25-0CA157FC2667}"/>
    <cellStyle name="Normal 8 2 4 7 3" xfId="11147" xr:uid="{64A32216-241E-4AC3-BCDF-88A4BF9774C9}"/>
    <cellStyle name="Normal 8 2 4 8" xfId="4858" xr:uid="{00000000-0005-0000-0000-00000A1D0000}"/>
    <cellStyle name="Normal 8 2 4 8 2" xfId="13300" xr:uid="{5DB76F21-49B8-48F4-8C17-9BBF3F6E4708}"/>
    <cellStyle name="Normal 8 2 4 9" xfId="9082" xr:uid="{EB5F5F36-FC09-446A-8892-ACB44944F5D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AA0287F3-DF1C-4011-8C0C-1F9BD7694983}"/>
    <cellStyle name="Normal 8 2 5 2 2 3" xfId="11642" xr:uid="{D468B032-161A-452C-B38B-2E8525674423}"/>
    <cellStyle name="Normal 8 2 5 2 3" xfId="5273" xr:uid="{00000000-0005-0000-0000-00000F1D0000}"/>
    <cellStyle name="Normal 8 2 5 2 3 2" xfId="13715" xr:uid="{0E27249C-49D6-4577-B5F7-B93CB2A9ADD5}"/>
    <cellStyle name="Normal 8 2 5 2 4" xfId="9497" xr:uid="{AE7BE87B-8C5B-4500-944A-E817141E3770}"/>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F4B4AAE3-F8D9-4651-93AD-0A7D81FAE037}"/>
    <cellStyle name="Normal 8 2 5 3 2 3" xfId="12055" xr:uid="{2A3FFB6E-E1C2-4961-AAC4-42C3CEE227A7}"/>
    <cellStyle name="Normal 8 2 5 3 3" xfId="5686" xr:uid="{00000000-0005-0000-0000-0000131D0000}"/>
    <cellStyle name="Normal 8 2 5 3 3 2" xfId="14128" xr:uid="{999BB6D8-7E35-413D-95CA-F5078B9679A8}"/>
    <cellStyle name="Normal 8 2 5 3 4" xfId="9910" xr:uid="{950BF3E8-AE16-4534-97B1-4EC73E9B386B}"/>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A227AC4D-EB0A-4A0F-8ABC-02230B1CA443}"/>
    <cellStyle name="Normal 8 2 5 4 2 3" xfId="12468" xr:uid="{1512C40F-8A22-4FE9-AA6F-AAB47D53397B}"/>
    <cellStyle name="Normal 8 2 5 4 3" xfId="6099" xr:uid="{00000000-0005-0000-0000-0000171D0000}"/>
    <cellStyle name="Normal 8 2 5 4 3 2" xfId="14541" xr:uid="{C4071F5E-AE24-4C3D-AB89-53237F5A694E}"/>
    <cellStyle name="Normal 8 2 5 4 4" xfId="10323" xr:uid="{3E53D053-FD35-43ED-81B8-91E7024C24E5}"/>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5540F677-C8E4-4D1F-BFAD-A695B2072181}"/>
    <cellStyle name="Normal 8 2 5 5 2 3" xfId="12881" xr:uid="{E37CACAF-6198-42F6-9DBC-195BF273A41F}"/>
    <cellStyle name="Normal 8 2 5 5 3" xfId="6512" xr:uid="{00000000-0005-0000-0000-00001B1D0000}"/>
    <cellStyle name="Normal 8 2 5 5 3 2" xfId="14954" xr:uid="{536DED5A-8743-4F78-9D77-4747FF16EE49}"/>
    <cellStyle name="Normal 8 2 5 5 4" xfId="10736" xr:uid="{E8EEC6EC-57DD-48F4-B0EE-198C6E23B6F6}"/>
    <cellStyle name="Normal 8 2 5 6" xfId="2641" xr:uid="{00000000-0005-0000-0000-00001C1D0000}"/>
    <cellStyle name="Normal 8 2 5 6 2" xfId="6925" xr:uid="{00000000-0005-0000-0000-00001D1D0000}"/>
    <cellStyle name="Normal 8 2 5 6 2 2" xfId="15367" xr:uid="{F568AF7A-C8A5-451D-AAAF-7B59179F3FEB}"/>
    <cellStyle name="Normal 8 2 5 6 3" xfId="11149" xr:uid="{56064B01-F121-4DE2-A1B1-986AA39619F9}"/>
    <cellStyle name="Normal 8 2 5 7" xfId="4860" xr:uid="{00000000-0005-0000-0000-00001E1D0000}"/>
    <cellStyle name="Normal 8 2 5 7 2" xfId="13302" xr:uid="{A9D52CC0-183C-40E2-826D-DCB075EBF1DD}"/>
    <cellStyle name="Normal 8 2 5 8" xfId="9084" xr:uid="{8558CBA0-2E11-4E4F-9975-7BCA2BC1E1E3}"/>
    <cellStyle name="Normal 8 2 6" xfId="946" xr:uid="{00000000-0005-0000-0000-00001F1D0000}"/>
    <cellStyle name="Normal 8 2 6 2" xfId="3180" xr:uid="{00000000-0005-0000-0000-0000201D0000}"/>
    <cellStyle name="Normal 8 2 6 2 2" xfId="7403" xr:uid="{00000000-0005-0000-0000-0000211D0000}"/>
    <cellStyle name="Normal 8 2 6 2 2 2" xfId="15845" xr:uid="{4307E503-FF72-4621-AC05-8933676C6D87}"/>
    <cellStyle name="Normal 8 2 6 2 3" xfId="11627" xr:uid="{095B5A54-549E-46FA-9F17-533B6F23ECCA}"/>
    <cellStyle name="Normal 8 2 6 3" xfId="5258" xr:uid="{00000000-0005-0000-0000-0000221D0000}"/>
    <cellStyle name="Normal 8 2 6 3 2" xfId="13700" xr:uid="{6BD75948-0569-46BA-A143-5DF5B35ACA8B}"/>
    <cellStyle name="Normal 8 2 6 4" xfId="9482" xr:uid="{CB0F8F6E-E0DE-4059-917C-28877A8C73C7}"/>
    <cellStyle name="Normal 8 2 7" xfId="1363" xr:uid="{00000000-0005-0000-0000-0000231D0000}"/>
    <cellStyle name="Normal 8 2 7 2" xfId="3593" xr:uid="{00000000-0005-0000-0000-0000241D0000}"/>
    <cellStyle name="Normal 8 2 7 2 2" xfId="7816" xr:uid="{00000000-0005-0000-0000-0000251D0000}"/>
    <cellStyle name="Normal 8 2 7 2 2 2" xfId="16258" xr:uid="{FBAD42AE-E332-496D-AF9E-EE21F7E0064E}"/>
    <cellStyle name="Normal 8 2 7 2 3" xfId="12040" xr:uid="{6722F8E8-580E-43F9-807B-89DE2406CC27}"/>
    <cellStyle name="Normal 8 2 7 3" xfId="5671" xr:uid="{00000000-0005-0000-0000-0000261D0000}"/>
    <cellStyle name="Normal 8 2 7 3 2" xfId="14113" xr:uid="{7C89CA0A-CFBA-41E1-A4C6-B20344BFC4A3}"/>
    <cellStyle name="Normal 8 2 7 4" xfId="9895" xr:uid="{8ACB4F18-A15E-4B75-8A37-3867FCD2B155}"/>
    <cellStyle name="Normal 8 2 8" xfId="1776" xr:uid="{00000000-0005-0000-0000-0000271D0000}"/>
    <cellStyle name="Normal 8 2 8 2" xfId="4006" xr:uid="{00000000-0005-0000-0000-0000281D0000}"/>
    <cellStyle name="Normal 8 2 8 2 2" xfId="8229" xr:uid="{00000000-0005-0000-0000-0000291D0000}"/>
    <cellStyle name="Normal 8 2 8 2 2 2" xfId="16671" xr:uid="{42B3F307-1238-4BDA-BB91-C36A3A45056F}"/>
    <cellStyle name="Normal 8 2 8 2 3" xfId="12453" xr:uid="{77D11921-7FD8-4DA1-8130-CAD6F67029EA}"/>
    <cellStyle name="Normal 8 2 8 3" xfId="6084" xr:uid="{00000000-0005-0000-0000-00002A1D0000}"/>
    <cellStyle name="Normal 8 2 8 3 2" xfId="14526" xr:uid="{CB6205DE-91B0-4B0E-A755-153F47FE4534}"/>
    <cellStyle name="Normal 8 2 8 4" xfId="10308" xr:uid="{7D835B5F-E536-465B-BB6D-90041E4C7E97}"/>
    <cellStyle name="Normal 8 2 9" xfId="2190" xr:uid="{00000000-0005-0000-0000-00002B1D0000}"/>
    <cellStyle name="Normal 8 2 9 2" xfId="4419" xr:uid="{00000000-0005-0000-0000-00002C1D0000}"/>
    <cellStyle name="Normal 8 2 9 2 2" xfId="8642" xr:uid="{00000000-0005-0000-0000-00002D1D0000}"/>
    <cellStyle name="Normal 8 2 9 2 2 2" xfId="17084" xr:uid="{6ECF955F-0392-44C7-92F5-11C37FEE90A0}"/>
    <cellStyle name="Normal 8 2 9 2 3" xfId="12866" xr:uid="{09BFA221-DC1B-4391-9EC5-9CBCF0810545}"/>
    <cellStyle name="Normal 8 2 9 3" xfId="6497" xr:uid="{00000000-0005-0000-0000-00002E1D0000}"/>
    <cellStyle name="Normal 8 2 9 3 2" xfId="14939" xr:uid="{3F61FB15-5067-4C1D-9A14-00ABC1D4D4A6}"/>
    <cellStyle name="Normal 8 2 9 4" xfId="10721" xr:uid="{CF3896AD-C2D1-415B-90CE-6BCE117CF454}"/>
    <cellStyle name="Normal 8 3" xfId="495" xr:uid="{00000000-0005-0000-0000-00002F1D0000}"/>
    <cellStyle name="Normal 8 3 10" xfId="4861" xr:uid="{00000000-0005-0000-0000-0000301D0000}"/>
    <cellStyle name="Normal 8 3 10 2" xfId="13303" xr:uid="{DC0731C1-C128-4457-8E9B-98CAAE6EB14E}"/>
    <cellStyle name="Normal 8 3 11" xfId="9085" xr:uid="{97CF79AE-DF35-4B84-916B-7D6ADBD5C91B}"/>
    <cellStyle name="Normal 8 3 2" xfId="496" xr:uid="{00000000-0005-0000-0000-0000311D0000}"/>
    <cellStyle name="Normal 8 3 2 10" xfId="9086" xr:uid="{4E156EF6-B185-4221-8987-7FCB626E3D52}"/>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0237E4E1-25E3-4BC2-B1AE-211BD8711925}"/>
    <cellStyle name="Normal 8 3 2 2 2 2 2 3" xfId="11646" xr:uid="{4EE27BE5-7956-4ACE-94DC-18F42403AAA9}"/>
    <cellStyle name="Normal 8 3 2 2 2 2 3" xfId="5277" xr:uid="{00000000-0005-0000-0000-0000371D0000}"/>
    <cellStyle name="Normal 8 3 2 2 2 2 3 2" xfId="13719" xr:uid="{9C8B4427-E8F9-461A-BFB3-84672B310D38}"/>
    <cellStyle name="Normal 8 3 2 2 2 2 4" xfId="9501" xr:uid="{39C81ED3-AC25-4DD8-A535-1685FDA1E816}"/>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E287EEE7-F4BD-4ED4-8722-9178BD73D29B}"/>
    <cellStyle name="Normal 8 3 2 2 2 3 2 3" xfId="12059" xr:uid="{96FAD08D-793E-4001-8E40-35364A9D5F47}"/>
    <cellStyle name="Normal 8 3 2 2 2 3 3" xfId="5690" xr:uid="{00000000-0005-0000-0000-00003B1D0000}"/>
    <cellStyle name="Normal 8 3 2 2 2 3 3 2" xfId="14132" xr:uid="{3CF95E96-CE67-4FEE-93B7-33285CE67210}"/>
    <cellStyle name="Normal 8 3 2 2 2 3 4" xfId="9914" xr:uid="{54DA6D5A-34CE-49FB-ABAE-0BCFCDC32F61}"/>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81BB473D-26C2-4F32-85AA-3B07B7D720BB}"/>
    <cellStyle name="Normal 8 3 2 2 2 4 2 3" xfId="12472" xr:uid="{D05A1213-1599-415D-8733-BB9DFCDB14A0}"/>
    <cellStyle name="Normal 8 3 2 2 2 4 3" xfId="6103" xr:uid="{00000000-0005-0000-0000-00003F1D0000}"/>
    <cellStyle name="Normal 8 3 2 2 2 4 3 2" xfId="14545" xr:uid="{A8877BE7-581B-4254-BCCC-F5F496B8120C}"/>
    <cellStyle name="Normal 8 3 2 2 2 4 4" xfId="10327" xr:uid="{5E3C51A0-6806-4684-9F1D-BDAF927FCC48}"/>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8A1658DB-C118-49AB-BCEC-65AA15823F5A}"/>
    <cellStyle name="Normal 8 3 2 2 2 5 2 3" xfId="12885" xr:uid="{018D89AB-EF2F-4DD3-A565-1ADBAE6D48CF}"/>
    <cellStyle name="Normal 8 3 2 2 2 5 3" xfId="6516" xr:uid="{00000000-0005-0000-0000-0000431D0000}"/>
    <cellStyle name="Normal 8 3 2 2 2 5 3 2" xfId="14958" xr:uid="{F5DF2FFB-F78E-4FB6-8F95-849523B611BB}"/>
    <cellStyle name="Normal 8 3 2 2 2 5 4" xfId="10740" xr:uid="{824B3202-3E11-4200-B5F4-90EFAE3AF337}"/>
    <cellStyle name="Normal 8 3 2 2 2 6" xfId="2645" xr:uid="{00000000-0005-0000-0000-0000441D0000}"/>
    <cellStyle name="Normal 8 3 2 2 2 6 2" xfId="6929" xr:uid="{00000000-0005-0000-0000-0000451D0000}"/>
    <cellStyle name="Normal 8 3 2 2 2 6 2 2" xfId="15371" xr:uid="{0B750150-3B62-4347-86E4-7773BCCCC580}"/>
    <cellStyle name="Normal 8 3 2 2 2 6 3" xfId="11153" xr:uid="{0E8D6D25-B6F9-4C2A-8B6E-C601DFA8689E}"/>
    <cellStyle name="Normal 8 3 2 2 2 7" xfId="4864" xr:uid="{00000000-0005-0000-0000-0000461D0000}"/>
    <cellStyle name="Normal 8 3 2 2 2 7 2" xfId="13306" xr:uid="{BFD0858A-DD04-4126-B6D9-92A700AB39AC}"/>
    <cellStyle name="Normal 8 3 2 2 2 8" xfId="9088" xr:uid="{A2011E9F-E836-49ED-894C-D1DA22DE60B1}"/>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50328FEC-A857-430A-8576-E80EE398826E}"/>
    <cellStyle name="Normal 8 3 2 2 3 2 3" xfId="11645" xr:uid="{22F79E11-F34B-48EA-9511-F0466324F8B1}"/>
    <cellStyle name="Normal 8 3 2 2 3 3" xfId="5276" xr:uid="{00000000-0005-0000-0000-00004A1D0000}"/>
    <cellStyle name="Normal 8 3 2 2 3 3 2" xfId="13718" xr:uid="{56FE658A-D1F3-45FE-BB9B-A58B5C2BCF5E}"/>
    <cellStyle name="Normal 8 3 2 2 3 4" xfId="9500" xr:uid="{AA9C3BFD-1E7E-4101-B703-50D82607FBE9}"/>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68426F9A-6BE4-4CC4-A35F-4A0AB95DA320}"/>
    <cellStyle name="Normal 8 3 2 2 4 2 3" xfId="12058" xr:uid="{5A1D37C5-E554-4A4A-B809-9D91955ED23E}"/>
    <cellStyle name="Normal 8 3 2 2 4 3" xfId="5689" xr:uid="{00000000-0005-0000-0000-00004E1D0000}"/>
    <cellStyle name="Normal 8 3 2 2 4 3 2" xfId="14131" xr:uid="{467750EE-8CC9-4CDB-B8FF-16A4D445B35D}"/>
    <cellStyle name="Normal 8 3 2 2 4 4" xfId="9913" xr:uid="{408FF289-5648-4006-B821-6E15695336DD}"/>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BC5680C4-6F76-446B-9EDB-B2F9CFDC0D1C}"/>
    <cellStyle name="Normal 8 3 2 2 5 2 3" xfId="12471" xr:uid="{B61DC011-5126-4A5F-96AA-0BDAC7932D33}"/>
    <cellStyle name="Normal 8 3 2 2 5 3" xfId="6102" xr:uid="{00000000-0005-0000-0000-0000521D0000}"/>
    <cellStyle name="Normal 8 3 2 2 5 3 2" xfId="14544" xr:uid="{3708510A-3B2E-442F-9D9B-3664FB88003F}"/>
    <cellStyle name="Normal 8 3 2 2 5 4" xfId="10326" xr:uid="{F946C773-FAE1-4F06-A57C-1CF3248501E5}"/>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8E22013F-C1F8-4650-ABD4-C3305593545E}"/>
    <cellStyle name="Normal 8 3 2 2 6 2 3" xfId="12884" xr:uid="{FBAB4758-9A83-4F27-A888-4AF99F023E71}"/>
    <cellStyle name="Normal 8 3 2 2 6 3" xfId="6515" xr:uid="{00000000-0005-0000-0000-0000561D0000}"/>
    <cellStyle name="Normal 8 3 2 2 6 3 2" xfId="14957" xr:uid="{4D5A70D5-9BE9-4490-A5B7-0549B048F114}"/>
    <cellStyle name="Normal 8 3 2 2 6 4" xfId="10739" xr:uid="{58744658-FFE8-46CA-9E4C-984D145B0875}"/>
    <cellStyle name="Normal 8 3 2 2 7" xfId="2644" xr:uid="{00000000-0005-0000-0000-0000571D0000}"/>
    <cellStyle name="Normal 8 3 2 2 7 2" xfId="6928" xr:uid="{00000000-0005-0000-0000-0000581D0000}"/>
    <cellStyle name="Normal 8 3 2 2 7 2 2" xfId="15370" xr:uid="{3756B739-3EA5-4AC9-94DC-9E5F47BEA125}"/>
    <cellStyle name="Normal 8 3 2 2 7 3" xfId="11152" xr:uid="{CA33E871-E6A6-4FE9-BD62-8226428BECD2}"/>
    <cellStyle name="Normal 8 3 2 2 8" xfId="4863" xr:uid="{00000000-0005-0000-0000-0000591D0000}"/>
    <cellStyle name="Normal 8 3 2 2 8 2" xfId="13305" xr:uid="{B248ED33-A88A-4DE1-93D6-5C7504785715}"/>
    <cellStyle name="Normal 8 3 2 2 9" xfId="9087" xr:uid="{4154E858-4805-446D-92A1-A31E9C76AE9B}"/>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9538A8D3-24E2-46DA-B7C9-16DF8DA43366}"/>
    <cellStyle name="Normal 8 3 2 3 2 2 3" xfId="11647" xr:uid="{A1426F40-9FFE-41CE-9240-1528B120A559}"/>
    <cellStyle name="Normal 8 3 2 3 2 3" xfId="5278" xr:uid="{00000000-0005-0000-0000-00005E1D0000}"/>
    <cellStyle name="Normal 8 3 2 3 2 3 2" xfId="13720" xr:uid="{6A18301B-23C9-4117-A362-CF78FB970D07}"/>
    <cellStyle name="Normal 8 3 2 3 2 4" xfId="9502" xr:uid="{FCA85083-DDE8-4E22-ACF3-A789058D74B7}"/>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0B2DBA57-FB25-4961-99BA-ED233337D439}"/>
    <cellStyle name="Normal 8 3 2 3 3 2 3" xfId="12060" xr:uid="{3BC90CB5-3ECA-4607-9531-A1C393AD3E21}"/>
    <cellStyle name="Normal 8 3 2 3 3 3" xfId="5691" xr:uid="{00000000-0005-0000-0000-0000621D0000}"/>
    <cellStyle name="Normal 8 3 2 3 3 3 2" xfId="14133" xr:uid="{0BC457FB-964A-4380-A07B-DD4F3A05C4DE}"/>
    <cellStyle name="Normal 8 3 2 3 3 4" xfId="9915" xr:uid="{D02E92DD-D658-4A6C-9CDC-0BC6971CB015}"/>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F7F257B1-26BF-4F6A-B3DF-ED12AC434EF2}"/>
    <cellStyle name="Normal 8 3 2 3 4 2 3" xfId="12473" xr:uid="{B95B0407-FBA8-4796-B584-CC2F7B62E06E}"/>
    <cellStyle name="Normal 8 3 2 3 4 3" xfId="6104" xr:uid="{00000000-0005-0000-0000-0000661D0000}"/>
    <cellStyle name="Normal 8 3 2 3 4 3 2" xfId="14546" xr:uid="{CB353EB4-7BEB-4846-A3DA-D67EB347F2B1}"/>
    <cellStyle name="Normal 8 3 2 3 4 4" xfId="10328" xr:uid="{D45B06FC-4022-46F3-94A2-462C98802A4C}"/>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B4984985-8C79-4B5A-8321-867FA5DC5949}"/>
    <cellStyle name="Normal 8 3 2 3 5 2 3" xfId="12886" xr:uid="{6B6E64D7-B300-4019-896A-842B4A5E0FEE}"/>
    <cellStyle name="Normal 8 3 2 3 5 3" xfId="6517" xr:uid="{00000000-0005-0000-0000-00006A1D0000}"/>
    <cellStyle name="Normal 8 3 2 3 5 3 2" xfId="14959" xr:uid="{E04D791F-36CA-41FB-BDF8-2EA9B5C3743B}"/>
    <cellStyle name="Normal 8 3 2 3 5 4" xfId="10741" xr:uid="{7EC01D04-736A-4EC6-AB06-EC6CE6D7107B}"/>
    <cellStyle name="Normal 8 3 2 3 6" xfId="2646" xr:uid="{00000000-0005-0000-0000-00006B1D0000}"/>
    <cellStyle name="Normal 8 3 2 3 6 2" xfId="6930" xr:uid="{00000000-0005-0000-0000-00006C1D0000}"/>
    <cellStyle name="Normal 8 3 2 3 6 2 2" xfId="15372" xr:uid="{B9B8A6A5-D794-4922-A3C6-3D1D8ECBAC82}"/>
    <cellStyle name="Normal 8 3 2 3 6 3" xfId="11154" xr:uid="{20A77B95-0E33-478B-A886-7DA7D18C785D}"/>
    <cellStyle name="Normal 8 3 2 3 7" xfId="4865" xr:uid="{00000000-0005-0000-0000-00006D1D0000}"/>
    <cellStyle name="Normal 8 3 2 3 7 2" xfId="13307" xr:uid="{E8C710C8-B96B-4F14-A662-D930D9CC49A3}"/>
    <cellStyle name="Normal 8 3 2 3 8" xfId="9089" xr:uid="{E7C4699D-B432-460F-B535-E37CBEEE9716}"/>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13746238-A45F-4A42-B8A9-0C1B615F5BFA}"/>
    <cellStyle name="Normal 8 3 2 4 2 3" xfId="11644" xr:uid="{8E58C884-5462-4C12-850F-EFC4B51DFB6E}"/>
    <cellStyle name="Normal 8 3 2 4 3" xfId="5275" xr:uid="{00000000-0005-0000-0000-0000711D0000}"/>
    <cellStyle name="Normal 8 3 2 4 3 2" xfId="13717" xr:uid="{6ACE3EFE-FA2F-45FC-AF77-FD89D8870899}"/>
    <cellStyle name="Normal 8 3 2 4 4" xfId="9499" xr:uid="{74606BA8-8933-4DB8-8A27-AF89A6C08AAF}"/>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CB24240E-3019-41A2-9080-292D1C77B8B8}"/>
    <cellStyle name="Normal 8 3 2 5 2 3" xfId="12057" xr:uid="{50B4EB22-3A83-44F5-9411-CB233A4CEB21}"/>
    <cellStyle name="Normal 8 3 2 5 3" xfId="5688" xr:uid="{00000000-0005-0000-0000-0000751D0000}"/>
    <cellStyle name="Normal 8 3 2 5 3 2" xfId="14130" xr:uid="{1E72318C-0154-45A6-8FDF-1193DC02568A}"/>
    <cellStyle name="Normal 8 3 2 5 4" xfId="9912" xr:uid="{13FE6CC7-7EBE-4104-9EF8-879ADA120F12}"/>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3CC28233-0E2C-4AD1-B2D5-32C320D063C6}"/>
    <cellStyle name="Normal 8 3 2 6 2 3" xfId="12470" xr:uid="{64008F3F-78B5-429B-A4BB-7930E8C2C714}"/>
    <cellStyle name="Normal 8 3 2 6 3" xfId="6101" xr:uid="{00000000-0005-0000-0000-0000791D0000}"/>
    <cellStyle name="Normal 8 3 2 6 3 2" xfId="14543" xr:uid="{C98F2EFC-854B-4FFF-BAF0-BCB5E99CBA5D}"/>
    <cellStyle name="Normal 8 3 2 6 4" xfId="10325" xr:uid="{B6CF8AD0-B491-4DFB-AB3D-701495469944}"/>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9E457F82-103D-48CF-B23D-F1A61B4010CA}"/>
    <cellStyle name="Normal 8 3 2 7 2 3" xfId="12883" xr:uid="{F829E8F0-F8A9-4079-9721-17606427A31C}"/>
    <cellStyle name="Normal 8 3 2 7 3" xfId="6514" xr:uid="{00000000-0005-0000-0000-00007D1D0000}"/>
    <cellStyle name="Normal 8 3 2 7 3 2" xfId="14956" xr:uid="{80C5DBF8-075C-4BC3-8021-808EC53DCA1B}"/>
    <cellStyle name="Normal 8 3 2 7 4" xfId="10738" xr:uid="{E9F35B80-A8A1-4968-BB23-10F08EF1956B}"/>
    <cellStyle name="Normal 8 3 2 8" xfId="2643" xr:uid="{00000000-0005-0000-0000-00007E1D0000}"/>
    <cellStyle name="Normal 8 3 2 8 2" xfId="6927" xr:uid="{00000000-0005-0000-0000-00007F1D0000}"/>
    <cellStyle name="Normal 8 3 2 8 2 2" xfId="15369" xr:uid="{27EAC0FF-C3B9-4DC8-9446-B79A2143EB21}"/>
    <cellStyle name="Normal 8 3 2 8 3" xfId="11151" xr:uid="{E4FF9C14-D2F6-4894-AF28-F1E61847205E}"/>
    <cellStyle name="Normal 8 3 2 9" xfId="4862" xr:uid="{00000000-0005-0000-0000-0000801D0000}"/>
    <cellStyle name="Normal 8 3 2 9 2" xfId="13304" xr:uid="{926D6502-9244-4330-8A77-E2EEF522FCDB}"/>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0BA25AA7-C3A5-4E33-861B-B3471A91888B}"/>
    <cellStyle name="Normal 8 3 3 2 2 2 3" xfId="11649" xr:uid="{9BCE77BF-F9AB-4422-BAF1-4CFB93CA4F86}"/>
    <cellStyle name="Normal 8 3 3 2 2 3" xfId="5280" xr:uid="{00000000-0005-0000-0000-0000861D0000}"/>
    <cellStyle name="Normal 8 3 3 2 2 3 2" xfId="13722" xr:uid="{AA7298DB-A80E-40F4-A3B7-0329A148FCA6}"/>
    <cellStyle name="Normal 8 3 3 2 2 4" xfId="9504" xr:uid="{92B42D84-4F7C-411C-BEEA-502B5C5E41DF}"/>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8B9BD435-32D9-473B-B25E-8A62925B8097}"/>
    <cellStyle name="Normal 8 3 3 2 3 2 3" xfId="12062" xr:uid="{A02D8450-725D-4ABF-9A7F-F26B687FE5E0}"/>
    <cellStyle name="Normal 8 3 3 2 3 3" xfId="5693" xr:uid="{00000000-0005-0000-0000-00008A1D0000}"/>
    <cellStyle name="Normal 8 3 3 2 3 3 2" xfId="14135" xr:uid="{7D7B0065-D35B-4E92-B6B5-8A432777A8E7}"/>
    <cellStyle name="Normal 8 3 3 2 3 4" xfId="9917" xr:uid="{AD5C943B-FF3B-41BF-830F-CD16F7A0481B}"/>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127A3A5A-7406-4A00-9705-0A3C883B9BE6}"/>
    <cellStyle name="Normal 8 3 3 2 4 2 3" xfId="12475" xr:uid="{E99478FD-3C92-433D-BBDA-FF2DD4D386CE}"/>
    <cellStyle name="Normal 8 3 3 2 4 3" xfId="6106" xr:uid="{00000000-0005-0000-0000-00008E1D0000}"/>
    <cellStyle name="Normal 8 3 3 2 4 3 2" xfId="14548" xr:uid="{54108F92-AF8E-410B-BCBE-BA182E218C5C}"/>
    <cellStyle name="Normal 8 3 3 2 4 4" xfId="10330" xr:uid="{CD8304B7-6502-43F5-983B-16D5041CA2B7}"/>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0F7E4646-F861-4416-BA5A-5879D1E6202D}"/>
    <cellStyle name="Normal 8 3 3 2 5 2 3" xfId="12888" xr:uid="{0D0436C0-62E7-4F67-9627-00B04A3B0FBF}"/>
    <cellStyle name="Normal 8 3 3 2 5 3" xfId="6519" xr:uid="{00000000-0005-0000-0000-0000921D0000}"/>
    <cellStyle name="Normal 8 3 3 2 5 3 2" xfId="14961" xr:uid="{1928F83F-1093-4D63-A54F-EAD35C4821E5}"/>
    <cellStyle name="Normal 8 3 3 2 5 4" xfId="10743" xr:uid="{98D95701-1E90-46C4-9265-B9B6EE1BC9E5}"/>
    <cellStyle name="Normal 8 3 3 2 6" xfId="2648" xr:uid="{00000000-0005-0000-0000-0000931D0000}"/>
    <cellStyle name="Normal 8 3 3 2 6 2" xfId="6932" xr:uid="{00000000-0005-0000-0000-0000941D0000}"/>
    <cellStyle name="Normal 8 3 3 2 6 2 2" xfId="15374" xr:uid="{5E61AAC3-E150-4C3B-B818-B1E951B389F0}"/>
    <cellStyle name="Normal 8 3 3 2 6 3" xfId="11156" xr:uid="{718C8ACA-D92B-4315-A6CC-706F0FB31AC7}"/>
    <cellStyle name="Normal 8 3 3 2 7" xfId="4867" xr:uid="{00000000-0005-0000-0000-0000951D0000}"/>
    <cellStyle name="Normal 8 3 3 2 7 2" xfId="13309" xr:uid="{086545EF-8C72-411A-AC90-20EA0E822857}"/>
    <cellStyle name="Normal 8 3 3 2 8" xfId="9091" xr:uid="{4F52A43E-7744-4D22-A5BC-A9DBFBAC41E0}"/>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3B27FB78-1953-44A6-A8D1-BA2FCE32AB2C}"/>
    <cellStyle name="Normal 8 3 3 3 2 3" xfId="11648" xr:uid="{80B3FD42-80B8-498E-B619-FA9A54BA6427}"/>
    <cellStyle name="Normal 8 3 3 3 3" xfId="5279" xr:uid="{00000000-0005-0000-0000-0000991D0000}"/>
    <cellStyle name="Normal 8 3 3 3 3 2" xfId="13721" xr:uid="{5D100812-5193-4769-B6CA-ED7DDA7776E6}"/>
    <cellStyle name="Normal 8 3 3 3 4" xfId="9503" xr:uid="{0B4157B4-53A5-4410-A8C1-1468BEA45DBD}"/>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F537819C-8DA0-42D7-B8A4-B43ED73823A7}"/>
    <cellStyle name="Normal 8 3 3 4 2 3" xfId="12061" xr:uid="{9CFB307C-7FBE-4EA8-8DA9-D01CA9CA5A0F}"/>
    <cellStyle name="Normal 8 3 3 4 3" xfId="5692" xr:uid="{00000000-0005-0000-0000-00009D1D0000}"/>
    <cellStyle name="Normal 8 3 3 4 3 2" xfId="14134" xr:uid="{F7F7495F-3412-4796-8FE0-75BCBFBA2253}"/>
    <cellStyle name="Normal 8 3 3 4 4" xfId="9916" xr:uid="{2ED3E177-5A26-44D8-BFB9-253FD7EB5FA5}"/>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EE835AD3-E0F9-456B-9098-642E7CF3B5F4}"/>
    <cellStyle name="Normal 8 3 3 5 2 3" xfId="12474" xr:uid="{BBC3E494-CCA7-41F0-A32D-925774D8BC0B}"/>
    <cellStyle name="Normal 8 3 3 5 3" xfId="6105" xr:uid="{00000000-0005-0000-0000-0000A11D0000}"/>
    <cellStyle name="Normal 8 3 3 5 3 2" xfId="14547" xr:uid="{439E3D7C-355A-4E85-9C02-2C75D76174DC}"/>
    <cellStyle name="Normal 8 3 3 5 4" xfId="10329" xr:uid="{AC3A8E22-2759-4085-B16B-6D89FDDDF5D2}"/>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61CD1F49-4257-4E29-A81C-1A345CF64534}"/>
    <cellStyle name="Normal 8 3 3 6 2 3" xfId="12887" xr:uid="{1D1500BA-9700-4C42-BAE3-A2E4DEF595A8}"/>
    <cellStyle name="Normal 8 3 3 6 3" xfId="6518" xr:uid="{00000000-0005-0000-0000-0000A51D0000}"/>
    <cellStyle name="Normal 8 3 3 6 3 2" xfId="14960" xr:uid="{46370E1E-BE4F-4670-80C6-1DCFCE3500A2}"/>
    <cellStyle name="Normal 8 3 3 6 4" xfId="10742" xr:uid="{3D0244B2-AD89-4AB7-801A-C9693A0A2898}"/>
    <cellStyle name="Normal 8 3 3 7" xfId="2647" xr:uid="{00000000-0005-0000-0000-0000A61D0000}"/>
    <cellStyle name="Normal 8 3 3 7 2" xfId="6931" xr:uid="{00000000-0005-0000-0000-0000A71D0000}"/>
    <cellStyle name="Normal 8 3 3 7 2 2" xfId="15373" xr:uid="{BBA68AE6-2235-476A-BBFB-615B9D3E6A6E}"/>
    <cellStyle name="Normal 8 3 3 7 3" xfId="11155" xr:uid="{84855C34-9CD9-43B5-8C3D-91953EFABB5E}"/>
    <cellStyle name="Normal 8 3 3 8" xfId="4866" xr:uid="{00000000-0005-0000-0000-0000A81D0000}"/>
    <cellStyle name="Normal 8 3 3 8 2" xfId="13308" xr:uid="{2A214732-6EC9-4A3D-B763-9698314961D0}"/>
    <cellStyle name="Normal 8 3 3 9" xfId="9090" xr:uid="{ADEFC2EE-95AF-47E7-9E42-B3E164AD9C45}"/>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3EEFE81B-8EB7-4A23-84BE-F2A8BD5B56CB}"/>
    <cellStyle name="Normal 8 3 4 2 2 3" xfId="11650" xr:uid="{CC788877-C072-4404-8BEC-E2709525E002}"/>
    <cellStyle name="Normal 8 3 4 2 3" xfId="5281" xr:uid="{00000000-0005-0000-0000-0000AD1D0000}"/>
    <cellStyle name="Normal 8 3 4 2 3 2" xfId="13723" xr:uid="{201C69FE-09A9-4AF4-9603-3C50C1627C1B}"/>
    <cellStyle name="Normal 8 3 4 2 4" xfId="9505" xr:uid="{B1FBE90C-BF42-4BFD-B363-FF47BE5389FD}"/>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64204EBB-0B60-4CA9-B19B-CFCA397FAFF3}"/>
    <cellStyle name="Normal 8 3 4 3 2 3" xfId="12063" xr:uid="{6641A6D4-6E89-422A-A24C-0D7B1358ECF7}"/>
    <cellStyle name="Normal 8 3 4 3 3" xfId="5694" xr:uid="{00000000-0005-0000-0000-0000B11D0000}"/>
    <cellStyle name="Normal 8 3 4 3 3 2" xfId="14136" xr:uid="{DA681FAB-B7A3-42F0-B9E2-182A061D046D}"/>
    <cellStyle name="Normal 8 3 4 3 4" xfId="9918" xr:uid="{F5D650AA-1872-420E-B2C2-7FD4CD632D20}"/>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98740E3E-2942-4CCE-8DF4-C1FF0491C981}"/>
    <cellStyle name="Normal 8 3 4 4 2 3" xfId="12476" xr:uid="{2331863F-CEAD-4333-8181-FCABF9AC9590}"/>
    <cellStyle name="Normal 8 3 4 4 3" xfId="6107" xr:uid="{00000000-0005-0000-0000-0000B51D0000}"/>
    <cellStyle name="Normal 8 3 4 4 3 2" xfId="14549" xr:uid="{FCCF01AB-6D64-4F63-85E0-C03894114169}"/>
    <cellStyle name="Normal 8 3 4 4 4" xfId="10331" xr:uid="{99317699-A23F-4909-A202-35B44D6FF3C9}"/>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1D6A495A-2A08-410E-B465-5E65A4EE3707}"/>
    <cellStyle name="Normal 8 3 4 5 2 3" xfId="12889" xr:uid="{0D7979F2-213B-4B6F-A001-750EEC9B1462}"/>
    <cellStyle name="Normal 8 3 4 5 3" xfId="6520" xr:uid="{00000000-0005-0000-0000-0000B91D0000}"/>
    <cellStyle name="Normal 8 3 4 5 3 2" xfId="14962" xr:uid="{6566A19A-5E81-4B1B-B2F7-3BC25A92E3A9}"/>
    <cellStyle name="Normal 8 3 4 5 4" xfId="10744" xr:uid="{C03D3468-312C-461B-834A-8DDF0C242016}"/>
    <cellStyle name="Normal 8 3 4 6" xfId="2649" xr:uid="{00000000-0005-0000-0000-0000BA1D0000}"/>
    <cellStyle name="Normal 8 3 4 6 2" xfId="6933" xr:uid="{00000000-0005-0000-0000-0000BB1D0000}"/>
    <cellStyle name="Normal 8 3 4 6 2 2" xfId="15375" xr:uid="{4B359B43-D603-4734-B869-A82DA8BDABB5}"/>
    <cellStyle name="Normal 8 3 4 6 3" xfId="11157" xr:uid="{2530E2C1-A5CD-46BC-970B-7AA3531D6597}"/>
    <cellStyle name="Normal 8 3 4 7" xfId="4868" xr:uid="{00000000-0005-0000-0000-0000BC1D0000}"/>
    <cellStyle name="Normal 8 3 4 7 2" xfId="13310" xr:uid="{EC5742E8-ED6A-44C4-BEA4-2E36110A7C3C}"/>
    <cellStyle name="Normal 8 3 4 8" xfId="9092" xr:uid="{A1AF30BA-4AE9-4C27-A046-EDCCE35C756B}"/>
    <cellStyle name="Normal 8 3 5" xfId="962" xr:uid="{00000000-0005-0000-0000-0000BD1D0000}"/>
    <cellStyle name="Normal 8 3 5 2" xfId="3196" xr:uid="{00000000-0005-0000-0000-0000BE1D0000}"/>
    <cellStyle name="Normal 8 3 5 2 2" xfId="7419" xr:uid="{00000000-0005-0000-0000-0000BF1D0000}"/>
    <cellStyle name="Normal 8 3 5 2 2 2" xfId="15861" xr:uid="{B6E91A3E-48FC-46DF-B9AE-8BBDE044D2A8}"/>
    <cellStyle name="Normal 8 3 5 2 3" xfId="11643" xr:uid="{842109A2-7E02-458C-829A-049FA955348B}"/>
    <cellStyle name="Normal 8 3 5 3" xfId="5274" xr:uid="{00000000-0005-0000-0000-0000C01D0000}"/>
    <cellStyle name="Normal 8 3 5 3 2" xfId="13716" xr:uid="{AD057970-54E2-418D-B7D3-B94BB88B155D}"/>
    <cellStyle name="Normal 8 3 5 4" xfId="9498" xr:uid="{4EA267F6-5E6E-4EA9-8574-36EAF471E1E0}"/>
    <cellStyle name="Normal 8 3 6" xfId="1379" xr:uid="{00000000-0005-0000-0000-0000C11D0000}"/>
    <cellStyle name="Normal 8 3 6 2" xfId="3609" xr:uid="{00000000-0005-0000-0000-0000C21D0000}"/>
    <cellStyle name="Normal 8 3 6 2 2" xfId="7832" xr:uid="{00000000-0005-0000-0000-0000C31D0000}"/>
    <cellStyle name="Normal 8 3 6 2 2 2" xfId="16274" xr:uid="{8586AF9B-CA26-4173-A202-F94685A6C8CA}"/>
    <cellStyle name="Normal 8 3 6 2 3" xfId="12056" xr:uid="{5AB30038-56E0-41BE-862C-ADA17AD31F30}"/>
    <cellStyle name="Normal 8 3 6 3" xfId="5687" xr:uid="{00000000-0005-0000-0000-0000C41D0000}"/>
    <cellStyle name="Normal 8 3 6 3 2" xfId="14129" xr:uid="{7E078194-DA48-4F4D-B5AB-11D9F819A89B}"/>
    <cellStyle name="Normal 8 3 6 4" xfId="9911" xr:uid="{47C64C1E-7486-42AE-8068-C495A7265A8B}"/>
    <cellStyle name="Normal 8 3 7" xfId="1792" xr:uid="{00000000-0005-0000-0000-0000C51D0000}"/>
    <cellStyle name="Normal 8 3 7 2" xfId="4022" xr:uid="{00000000-0005-0000-0000-0000C61D0000}"/>
    <cellStyle name="Normal 8 3 7 2 2" xfId="8245" xr:uid="{00000000-0005-0000-0000-0000C71D0000}"/>
    <cellStyle name="Normal 8 3 7 2 2 2" xfId="16687" xr:uid="{B3A5AEAA-7AF5-4E73-B8DE-D7C55C2DD426}"/>
    <cellStyle name="Normal 8 3 7 2 3" xfId="12469" xr:uid="{289DAB99-46FC-43E2-A120-F38FE1C7F18F}"/>
    <cellStyle name="Normal 8 3 7 3" xfId="6100" xr:uid="{00000000-0005-0000-0000-0000C81D0000}"/>
    <cellStyle name="Normal 8 3 7 3 2" xfId="14542" xr:uid="{29F603F2-7788-4E78-93D6-01E8695404B5}"/>
    <cellStyle name="Normal 8 3 7 4" xfId="10324" xr:uid="{992F4F8F-68D7-4950-9449-C126CBE2253C}"/>
    <cellStyle name="Normal 8 3 8" xfId="2206" xr:uid="{00000000-0005-0000-0000-0000C91D0000}"/>
    <cellStyle name="Normal 8 3 8 2" xfId="4435" xr:uid="{00000000-0005-0000-0000-0000CA1D0000}"/>
    <cellStyle name="Normal 8 3 8 2 2" xfId="8658" xr:uid="{00000000-0005-0000-0000-0000CB1D0000}"/>
    <cellStyle name="Normal 8 3 8 2 2 2" xfId="17100" xr:uid="{AF2CFB0F-1454-4E72-933C-929FE4F02C89}"/>
    <cellStyle name="Normal 8 3 8 2 3" xfId="12882" xr:uid="{DDAFFA90-C022-4A30-8053-7DD41B8A3913}"/>
    <cellStyle name="Normal 8 3 8 3" xfId="6513" xr:uid="{00000000-0005-0000-0000-0000CC1D0000}"/>
    <cellStyle name="Normal 8 3 8 3 2" xfId="14955" xr:uid="{52CB3B3F-5228-43CD-B364-4C6B7E45040A}"/>
    <cellStyle name="Normal 8 3 8 4" xfId="10737" xr:uid="{B013E4A0-3219-46F9-9590-02FD09164DA9}"/>
    <cellStyle name="Normal 8 3 9" xfId="2642" xr:uid="{00000000-0005-0000-0000-0000CD1D0000}"/>
    <cellStyle name="Normal 8 3 9 2" xfId="6926" xr:uid="{00000000-0005-0000-0000-0000CE1D0000}"/>
    <cellStyle name="Normal 8 3 9 2 2" xfId="15368" xr:uid="{98E29924-1905-43A3-A336-26A588C2528F}"/>
    <cellStyle name="Normal 8 3 9 3" xfId="11150" xr:uid="{4CD8DBD8-9ED3-46AD-ACEF-E21A15AC6BD7}"/>
    <cellStyle name="Normal 8 4" xfId="503" xr:uid="{00000000-0005-0000-0000-0000CF1D0000}"/>
    <cellStyle name="Normal 8 4 10" xfId="9093" xr:uid="{A9F91475-B162-48F5-A5B1-01A7C03A482E}"/>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FD0C5BA3-8731-4AED-B8E5-A0AA649A4FE1}"/>
    <cellStyle name="Normal 8 4 2 2 2 2 3" xfId="11653" xr:uid="{C71438A2-22B5-4A85-9D97-EBA558A59216}"/>
    <cellStyle name="Normal 8 4 2 2 2 3" xfId="5284" xr:uid="{00000000-0005-0000-0000-0000D51D0000}"/>
    <cellStyle name="Normal 8 4 2 2 2 3 2" xfId="13726" xr:uid="{D8CD4184-60F2-4276-AD76-5E088E1D9572}"/>
    <cellStyle name="Normal 8 4 2 2 2 4" xfId="9508" xr:uid="{18D59FC5-5D42-4505-B4F3-3711B9DC49E1}"/>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13F5D098-0AEE-4C4A-8F32-B192067FFC2A}"/>
    <cellStyle name="Normal 8 4 2 2 3 2 3" xfId="12066" xr:uid="{0581D136-AFBA-41D3-909A-276512E52183}"/>
    <cellStyle name="Normal 8 4 2 2 3 3" xfId="5697" xr:uid="{00000000-0005-0000-0000-0000D91D0000}"/>
    <cellStyle name="Normal 8 4 2 2 3 3 2" xfId="14139" xr:uid="{5BA8D89E-8D54-4E78-998A-386AB1B44108}"/>
    <cellStyle name="Normal 8 4 2 2 3 4" xfId="9921" xr:uid="{899E8C93-2916-4476-A840-C32F29334D40}"/>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E5309580-034A-4D2E-83DF-E84979EE98C8}"/>
    <cellStyle name="Normal 8 4 2 2 4 2 3" xfId="12479" xr:uid="{E513798D-C71C-48DB-B3BC-6EC77DF561C7}"/>
    <cellStyle name="Normal 8 4 2 2 4 3" xfId="6110" xr:uid="{00000000-0005-0000-0000-0000DD1D0000}"/>
    <cellStyle name="Normal 8 4 2 2 4 3 2" xfId="14552" xr:uid="{BA34E67F-59EA-4CB6-A1DF-BC32630D2574}"/>
    <cellStyle name="Normal 8 4 2 2 4 4" xfId="10334" xr:uid="{7A2119F2-AB08-4FCD-9A33-E4F9FB36E120}"/>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D207729F-E833-4385-B968-1E6DEF4EC46B}"/>
    <cellStyle name="Normal 8 4 2 2 5 2 3" xfId="12892" xr:uid="{88B1FF98-5993-40D0-BC5C-CECE4ED80EBF}"/>
    <cellStyle name="Normal 8 4 2 2 5 3" xfId="6523" xr:uid="{00000000-0005-0000-0000-0000E11D0000}"/>
    <cellStyle name="Normal 8 4 2 2 5 3 2" xfId="14965" xr:uid="{7C55FDC4-1C79-424A-827A-33E24E256D62}"/>
    <cellStyle name="Normal 8 4 2 2 5 4" xfId="10747" xr:uid="{AEC24735-5C97-4D49-95A7-91908C14D0E8}"/>
    <cellStyle name="Normal 8 4 2 2 6" xfId="2652" xr:uid="{00000000-0005-0000-0000-0000E21D0000}"/>
    <cellStyle name="Normal 8 4 2 2 6 2" xfId="6936" xr:uid="{00000000-0005-0000-0000-0000E31D0000}"/>
    <cellStyle name="Normal 8 4 2 2 6 2 2" xfId="15378" xr:uid="{8C987C62-F919-4023-AED2-32910D0D864F}"/>
    <cellStyle name="Normal 8 4 2 2 6 3" xfId="11160" xr:uid="{53B78AF6-A8F1-443F-85B6-C27BAE6BFF34}"/>
    <cellStyle name="Normal 8 4 2 2 7" xfId="4871" xr:uid="{00000000-0005-0000-0000-0000E41D0000}"/>
    <cellStyle name="Normal 8 4 2 2 7 2" xfId="13313" xr:uid="{4633E233-C330-4824-9F8A-B10F1A036149}"/>
    <cellStyle name="Normal 8 4 2 2 8" xfId="9095" xr:uid="{99CCD0C8-3C71-4B84-8724-C54ECBC7ABEC}"/>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7F9D67A2-86B7-4D73-9B68-634E0DF4161B}"/>
    <cellStyle name="Normal 8 4 2 3 2 3" xfId="11652" xr:uid="{02A4647C-A372-4819-8AA2-357EB72410B4}"/>
    <cellStyle name="Normal 8 4 2 3 3" xfId="5283" xr:uid="{00000000-0005-0000-0000-0000E81D0000}"/>
    <cellStyle name="Normal 8 4 2 3 3 2" xfId="13725" xr:uid="{9CCE6E10-CCBD-4215-9917-7F6C7358CF2B}"/>
    <cellStyle name="Normal 8 4 2 3 4" xfId="9507" xr:uid="{C0D03AD2-6EB5-4652-B2C4-C0A7FE964993}"/>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A8131AE6-36BE-41D6-A0CE-B1D819DF0D53}"/>
    <cellStyle name="Normal 8 4 2 4 2 3" xfId="12065" xr:uid="{8F6ADBB4-CACE-4741-B6CF-9F250B15F780}"/>
    <cellStyle name="Normal 8 4 2 4 3" xfId="5696" xr:uid="{00000000-0005-0000-0000-0000EC1D0000}"/>
    <cellStyle name="Normal 8 4 2 4 3 2" xfId="14138" xr:uid="{E7600863-D6CD-4337-805F-25E26029EB2F}"/>
    <cellStyle name="Normal 8 4 2 4 4" xfId="9920" xr:uid="{33B4CB1E-1A69-421F-B73B-5B60849C5B75}"/>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594AF7B7-FFA6-4621-B837-97B19E5C957B}"/>
    <cellStyle name="Normal 8 4 2 5 2 3" xfId="12478" xr:uid="{72F6588C-8BB1-4F40-B082-2FA3122377CC}"/>
    <cellStyle name="Normal 8 4 2 5 3" xfId="6109" xr:uid="{00000000-0005-0000-0000-0000F01D0000}"/>
    <cellStyle name="Normal 8 4 2 5 3 2" xfId="14551" xr:uid="{9668586F-A08C-484D-A85B-8C29DA17066D}"/>
    <cellStyle name="Normal 8 4 2 5 4" xfId="10333" xr:uid="{E63B7B7B-0F6B-4247-BFCA-A1E3592FD9AA}"/>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95CFE7A9-EB29-4731-9429-9FBCD3D89AB8}"/>
    <cellStyle name="Normal 8 4 2 6 2 3" xfId="12891" xr:uid="{64B75963-72D8-477D-B108-204143007DF2}"/>
    <cellStyle name="Normal 8 4 2 6 3" xfId="6522" xr:uid="{00000000-0005-0000-0000-0000F41D0000}"/>
    <cellStyle name="Normal 8 4 2 6 3 2" xfId="14964" xr:uid="{5CCA91BD-4DD1-4F1C-8FF1-A2253540795E}"/>
    <cellStyle name="Normal 8 4 2 6 4" xfId="10746" xr:uid="{22C1354E-1255-48B2-AECD-2AFFEEFEA5B9}"/>
    <cellStyle name="Normal 8 4 2 7" xfId="2651" xr:uid="{00000000-0005-0000-0000-0000F51D0000}"/>
    <cellStyle name="Normal 8 4 2 7 2" xfId="6935" xr:uid="{00000000-0005-0000-0000-0000F61D0000}"/>
    <cellStyle name="Normal 8 4 2 7 2 2" xfId="15377" xr:uid="{A0330BBA-6058-468B-B6A9-D3853A0360D1}"/>
    <cellStyle name="Normal 8 4 2 7 3" xfId="11159" xr:uid="{E1A6B90B-4584-4709-B698-FC508A713F1D}"/>
    <cellStyle name="Normal 8 4 2 8" xfId="4870" xr:uid="{00000000-0005-0000-0000-0000F71D0000}"/>
    <cellStyle name="Normal 8 4 2 8 2" xfId="13312" xr:uid="{161F14B2-7592-4A67-8377-CAB4D5157018}"/>
    <cellStyle name="Normal 8 4 2 9" xfId="9094" xr:uid="{E32E64D2-7B36-4AF3-8DEE-A28A5C463936}"/>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31B2265D-637F-49B4-A004-A886F6747C64}"/>
    <cellStyle name="Normal 8 4 3 2 2 3" xfId="11654" xr:uid="{5AC1CB89-888B-44CA-B495-1056D2C3ED07}"/>
    <cellStyle name="Normal 8 4 3 2 3" xfId="5285" xr:uid="{00000000-0005-0000-0000-0000FC1D0000}"/>
    <cellStyle name="Normal 8 4 3 2 3 2" xfId="13727" xr:uid="{4619BACC-AD40-4226-8E98-82A49007DAF6}"/>
    <cellStyle name="Normal 8 4 3 2 4" xfId="9509" xr:uid="{C3A2C333-BB95-4224-BC29-70DD9DFB9738}"/>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42260591-801F-4A4E-9498-9E39BE252702}"/>
    <cellStyle name="Normal 8 4 3 3 2 3" xfId="12067" xr:uid="{68F9CB8E-4843-4102-B574-6F8F51530A8D}"/>
    <cellStyle name="Normal 8 4 3 3 3" xfId="5698" xr:uid="{00000000-0005-0000-0000-0000001E0000}"/>
    <cellStyle name="Normal 8 4 3 3 3 2" xfId="14140" xr:uid="{657A1B41-83C3-4477-9C6F-BCC1DD00A061}"/>
    <cellStyle name="Normal 8 4 3 3 4" xfId="9922" xr:uid="{DDB6CD20-AB9D-444C-BA3F-91C8F9B093A2}"/>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9BF55737-70AA-4870-AD44-8E002F51E136}"/>
    <cellStyle name="Normal 8 4 3 4 2 3" xfId="12480" xr:uid="{48D7A3BA-3B57-4FF4-A796-A565048AE4E4}"/>
    <cellStyle name="Normal 8 4 3 4 3" xfId="6111" xr:uid="{00000000-0005-0000-0000-0000041E0000}"/>
    <cellStyle name="Normal 8 4 3 4 3 2" xfId="14553" xr:uid="{BE0DF2B1-8802-4D80-A141-8B9732BD48B3}"/>
    <cellStyle name="Normal 8 4 3 4 4" xfId="10335" xr:uid="{8E80A2E1-7ABC-4722-8017-3A926839BBDA}"/>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37D19A81-DA33-4376-95AC-6C4C3F200674}"/>
    <cellStyle name="Normal 8 4 3 5 2 3" xfId="12893" xr:uid="{3B24AA94-5724-4FC8-9023-7F27F5021828}"/>
    <cellStyle name="Normal 8 4 3 5 3" xfId="6524" xr:uid="{00000000-0005-0000-0000-0000081E0000}"/>
    <cellStyle name="Normal 8 4 3 5 3 2" xfId="14966" xr:uid="{A568AAD2-DC3A-46EB-B972-F7D616A37C09}"/>
    <cellStyle name="Normal 8 4 3 5 4" xfId="10748" xr:uid="{162CEE96-8703-4406-99D2-6CBC032684BE}"/>
    <cellStyle name="Normal 8 4 3 6" xfId="2653" xr:uid="{00000000-0005-0000-0000-0000091E0000}"/>
    <cellStyle name="Normal 8 4 3 6 2" xfId="6937" xr:uid="{00000000-0005-0000-0000-00000A1E0000}"/>
    <cellStyle name="Normal 8 4 3 6 2 2" xfId="15379" xr:uid="{85C6BD5E-2F1C-43B3-AEBD-0D99F21260FE}"/>
    <cellStyle name="Normal 8 4 3 6 3" xfId="11161" xr:uid="{6F1235F3-3943-41E8-A7D1-EE9D6365E915}"/>
    <cellStyle name="Normal 8 4 3 7" xfId="4872" xr:uid="{00000000-0005-0000-0000-00000B1E0000}"/>
    <cellStyle name="Normal 8 4 3 7 2" xfId="13314" xr:uid="{0044A2E3-1884-43A1-91D7-36CAF8ADFBD6}"/>
    <cellStyle name="Normal 8 4 3 8" xfId="9096" xr:uid="{8A67DA52-AD85-4C84-A20F-FE25A7E2637E}"/>
    <cellStyle name="Normal 8 4 4" xfId="970" xr:uid="{00000000-0005-0000-0000-00000C1E0000}"/>
    <cellStyle name="Normal 8 4 4 2" xfId="3204" xr:uid="{00000000-0005-0000-0000-00000D1E0000}"/>
    <cellStyle name="Normal 8 4 4 2 2" xfId="7427" xr:uid="{00000000-0005-0000-0000-00000E1E0000}"/>
    <cellStyle name="Normal 8 4 4 2 2 2" xfId="15869" xr:uid="{EC4F2E5C-F3C8-4F50-BEA2-944F3A0F4FBC}"/>
    <cellStyle name="Normal 8 4 4 2 3" xfId="11651" xr:uid="{A3810786-B437-40F7-AB74-873A83C9D406}"/>
    <cellStyle name="Normal 8 4 4 3" xfId="5282" xr:uid="{00000000-0005-0000-0000-00000F1E0000}"/>
    <cellStyle name="Normal 8 4 4 3 2" xfId="13724" xr:uid="{82248610-6C15-492D-A0D5-E9DE19BCB0E6}"/>
    <cellStyle name="Normal 8 4 4 4" xfId="9506" xr:uid="{B21B01E1-BDC5-40D3-992A-05FA6AF5485B}"/>
    <cellStyle name="Normal 8 4 5" xfId="1387" xr:uid="{00000000-0005-0000-0000-0000101E0000}"/>
    <cellStyle name="Normal 8 4 5 2" xfId="3617" xr:uid="{00000000-0005-0000-0000-0000111E0000}"/>
    <cellStyle name="Normal 8 4 5 2 2" xfId="7840" xr:uid="{00000000-0005-0000-0000-0000121E0000}"/>
    <cellStyle name="Normal 8 4 5 2 2 2" xfId="16282" xr:uid="{591C327A-F21C-436C-B8F9-F4395F913BD1}"/>
    <cellStyle name="Normal 8 4 5 2 3" xfId="12064" xr:uid="{ACC3A48E-75DB-4505-BE86-056D42D82F77}"/>
    <cellStyle name="Normal 8 4 5 3" xfId="5695" xr:uid="{00000000-0005-0000-0000-0000131E0000}"/>
    <cellStyle name="Normal 8 4 5 3 2" xfId="14137" xr:uid="{7B11FACF-7B1D-40A2-9F3D-AE9B9F9F4CC7}"/>
    <cellStyle name="Normal 8 4 5 4" xfId="9919" xr:uid="{A855D2F8-D09A-4491-9B66-4F5F87A3D8A4}"/>
    <cellStyle name="Normal 8 4 6" xfId="1800" xr:uid="{00000000-0005-0000-0000-0000141E0000}"/>
    <cellStyle name="Normal 8 4 6 2" xfId="4030" xr:uid="{00000000-0005-0000-0000-0000151E0000}"/>
    <cellStyle name="Normal 8 4 6 2 2" xfId="8253" xr:uid="{00000000-0005-0000-0000-0000161E0000}"/>
    <cellStyle name="Normal 8 4 6 2 2 2" xfId="16695" xr:uid="{F83F2282-169A-42C4-B3A4-0B3E7E324199}"/>
    <cellStyle name="Normal 8 4 6 2 3" xfId="12477" xr:uid="{9ADC8148-AD85-4999-86D6-F4A27EAF3F25}"/>
    <cellStyle name="Normal 8 4 6 3" xfId="6108" xr:uid="{00000000-0005-0000-0000-0000171E0000}"/>
    <cellStyle name="Normal 8 4 6 3 2" xfId="14550" xr:uid="{0301A6A3-C602-4035-B1B5-984A31F038A8}"/>
    <cellStyle name="Normal 8 4 6 4" xfId="10332" xr:uid="{EAC4278E-6730-44EC-8518-8574DC3DC97E}"/>
    <cellStyle name="Normal 8 4 7" xfId="2214" xr:uid="{00000000-0005-0000-0000-0000181E0000}"/>
    <cellStyle name="Normal 8 4 7 2" xfId="4443" xr:uid="{00000000-0005-0000-0000-0000191E0000}"/>
    <cellStyle name="Normal 8 4 7 2 2" xfId="8666" xr:uid="{00000000-0005-0000-0000-00001A1E0000}"/>
    <cellStyle name="Normal 8 4 7 2 2 2" xfId="17108" xr:uid="{E1A64C16-3E42-4A43-AB30-FCF7D1E182DC}"/>
    <cellStyle name="Normal 8 4 7 2 3" xfId="12890" xr:uid="{6E865CA9-34F7-4AE1-92F7-779F5F7629C6}"/>
    <cellStyle name="Normal 8 4 7 3" xfId="6521" xr:uid="{00000000-0005-0000-0000-00001B1E0000}"/>
    <cellStyle name="Normal 8 4 7 3 2" xfId="14963" xr:uid="{5FB42B11-F0C5-4B48-BA93-DF186B8AB9EE}"/>
    <cellStyle name="Normal 8 4 7 4" xfId="10745" xr:uid="{5705E936-5FFE-4BD2-A602-CDA9FEB7F845}"/>
    <cellStyle name="Normal 8 4 8" xfId="2650" xr:uid="{00000000-0005-0000-0000-00001C1E0000}"/>
    <cellStyle name="Normal 8 4 8 2" xfId="6934" xr:uid="{00000000-0005-0000-0000-00001D1E0000}"/>
    <cellStyle name="Normal 8 4 8 2 2" xfId="15376" xr:uid="{542A2E44-EC79-45C8-BE33-665141A84BC3}"/>
    <cellStyle name="Normal 8 4 8 3" xfId="11158" xr:uid="{276B9352-47FD-49D0-9C38-9AFF80CC9A1C}"/>
    <cellStyle name="Normal 8 4 9" xfId="4869" xr:uid="{00000000-0005-0000-0000-00001E1E0000}"/>
    <cellStyle name="Normal 8 4 9 2" xfId="13311" xr:uid="{3F42F806-A0A2-4613-8052-B37D9FCDE66D}"/>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8A4CFF8D-A6C6-4ACE-AEAA-50C35392B3C1}"/>
    <cellStyle name="Normal 8 5 2 2 2 3" xfId="11656" xr:uid="{5AFC8981-6AF8-4A51-9830-59D35133568F}"/>
    <cellStyle name="Normal 8 5 2 2 3" xfId="5287" xr:uid="{00000000-0005-0000-0000-0000241E0000}"/>
    <cellStyle name="Normal 8 5 2 2 3 2" xfId="13729" xr:uid="{1A5BD11E-853E-44D0-AC98-A51997D6D675}"/>
    <cellStyle name="Normal 8 5 2 2 4" xfId="9511" xr:uid="{430C8119-3C8F-4F8F-A80C-4870296FB143}"/>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9E766AF5-8C79-4768-B5DE-1EDC9D3475B7}"/>
    <cellStyle name="Normal 8 5 2 3 2 3" xfId="12069" xr:uid="{450D3B07-42D6-4765-BDB7-59C96FF4F828}"/>
    <cellStyle name="Normal 8 5 2 3 3" xfId="5700" xr:uid="{00000000-0005-0000-0000-0000281E0000}"/>
    <cellStyle name="Normal 8 5 2 3 3 2" xfId="14142" xr:uid="{0979B3F7-BD86-4E5B-81CE-F10F86D721F4}"/>
    <cellStyle name="Normal 8 5 2 3 4" xfId="9924" xr:uid="{07E9C07C-D1E0-4994-809B-D5F7C73EFE8C}"/>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445D0C6D-03D8-4BA7-A918-D9F10A3BBD47}"/>
    <cellStyle name="Normal 8 5 2 4 2 3" xfId="12482" xr:uid="{D6C5D2F9-4784-4C49-81E2-9DB4D4830E10}"/>
    <cellStyle name="Normal 8 5 2 4 3" xfId="6113" xr:uid="{00000000-0005-0000-0000-00002C1E0000}"/>
    <cellStyle name="Normal 8 5 2 4 3 2" xfId="14555" xr:uid="{A689C9FE-F748-462E-B279-B7E9D1FBC0E0}"/>
    <cellStyle name="Normal 8 5 2 4 4" xfId="10337" xr:uid="{5E64C5F6-20A8-4158-A8F6-A08BB2511F97}"/>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8E0FAB32-E74C-4684-9A87-55A90BFE2BE4}"/>
    <cellStyle name="Normal 8 5 2 5 2 3" xfId="12895" xr:uid="{F00F4232-6C8A-4E1B-8D6B-28DD3634E0ED}"/>
    <cellStyle name="Normal 8 5 2 5 3" xfId="6526" xr:uid="{00000000-0005-0000-0000-0000301E0000}"/>
    <cellStyle name="Normal 8 5 2 5 3 2" xfId="14968" xr:uid="{C71C688F-B484-4B22-A8E5-B2752F36FD0E}"/>
    <cellStyle name="Normal 8 5 2 5 4" xfId="10750" xr:uid="{0A5157A1-2A2F-4888-9500-8DE1C06DEFC8}"/>
    <cellStyle name="Normal 8 5 2 6" xfId="2655" xr:uid="{00000000-0005-0000-0000-0000311E0000}"/>
    <cellStyle name="Normal 8 5 2 6 2" xfId="6939" xr:uid="{00000000-0005-0000-0000-0000321E0000}"/>
    <cellStyle name="Normal 8 5 2 6 2 2" xfId="15381" xr:uid="{DCE04286-A88D-431D-823E-53EF17606068}"/>
    <cellStyle name="Normal 8 5 2 6 3" xfId="11163" xr:uid="{055DA8F3-23EA-4CE8-A8DA-ABDCE2FF40F9}"/>
    <cellStyle name="Normal 8 5 2 7" xfId="4874" xr:uid="{00000000-0005-0000-0000-0000331E0000}"/>
    <cellStyle name="Normal 8 5 2 7 2" xfId="13316" xr:uid="{C1D13FDC-2FCE-403F-8817-0FDC00C2F40C}"/>
    <cellStyle name="Normal 8 5 2 8" xfId="9098" xr:uid="{24CCE280-4183-4A46-97BE-78B95E7BFD63}"/>
    <cellStyle name="Normal 8 5 3" xfId="974" xr:uid="{00000000-0005-0000-0000-0000341E0000}"/>
    <cellStyle name="Normal 8 5 3 2" xfId="3208" xr:uid="{00000000-0005-0000-0000-0000351E0000}"/>
    <cellStyle name="Normal 8 5 3 2 2" xfId="7431" xr:uid="{00000000-0005-0000-0000-0000361E0000}"/>
    <cellStyle name="Normal 8 5 3 2 2 2" xfId="15873" xr:uid="{A2C0D328-644B-46E1-B958-F840E8E9C0DC}"/>
    <cellStyle name="Normal 8 5 3 2 3" xfId="11655" xr:uid="{05768BC6-2C7C-4573-9F3B-405429EB8571}"/>
    <cellStyle name="Normal 8 5 3 3" xfId="5286" xr:uid="{00000000-0005-0000-0000-0000371E0000}"/>
    <cellStyle name="Normal 8 5 3 3 2" xfId="13728" xr:uid="{DFC937A1-6329-4972-87CC-BCB86E9B5BE5}"/>
    <cellStyle name="Normal 8 5 3 4" xfId="9510" xr:uid="{AD33A5A7-6985-421A-A1C8-A0A0680F6005}"/>
    <cellStyle name="Normal 8 5 4" xfId="1391" xr:uid="{00000000-0005-0000-0000-0000381E0000}"/>
    <cellStyle name="Normal 8 5 4 2" xfId="3621" xr:uid="{00000000-0005-0000-0000-0000391E0000}"/>
    <cellStyle name="Normal 8 5 4 2 2" xfId="7844" xr:uid="{00000000-0005-0000-0000-00003A1E0000}"/>
    <cellStyle name="Normal 8 5 4 2 2 2" xfId="16286" xr:uid="{87E30A2E-1AE7-4F49-BF1A-E76208817EF3}"/>
    <cellStyle name="Normal 8 5 4 2 3" xfId="12068" xr:uid="{6FEBC8E3-DA54-4636-8381-F21CFACE9451}"/>
    <cellStyle name="Normal 8 5 4 3" xfId="5699" xr:uid="{00000000-0005-0000-0000-00003B1E0000}"/>
    <cellStyle name="Normal 8 5 4 3 2" xfId="14141" xr:uid="{402F820C-C132-40C8-B77D-714AFB107DEB}"/>
    <cellStyle name="Normal 8 5 4 4" xfId="9923" xr:uid="{A5D5EBE1-EFC6-4CC5-BF1B-619BAC47B44D}"/>
    <cellStyle name="Normal 8 5 5" xfId="1804" xr:uid="{00000000-0005-0000-0000-00003C1E0000}"/>
    <cellStyle name="Normal 8 5 5 2" xfId="4034" xr:uid="{00000000-0005-0000-0000-00003D1E0000}"/>
    <cellStyle name="Normal 8 5 5 2 2" xfId="8257" xr:uid="{00000000-0005-0000-0000-00003E1E0000}"/>
    <cellStyle name="Normal 8 5 5 2 2 2" xfId="16699" xr:uid="{216F723E-7227-4813-9ED2-0A70842E8757}"/>
    <cellStyle name="Normal 8 5 5 2 3" xfId="12481" xr:uid="{0F491EA7-FD35-4A9C-B853-B5B18CDB83E3}"/>
    <cellStyle name="Normal 8 5 5 3" xfId="6112" xr:uid="{00000000-0005-0000-0000-00003F1E0000}"/>
    <cellStyle name="Normal 8 5 5 3 2" xfId="14554" xr:uid="{258AB125-30AE-4152-BD3F-201160E4F44E}"/>
    <cellStyle name="Normal 8 5 5 4" xfId="10336" xr:uid="{FBBEEE41-CDEA-4C1C-A04B-ACB5CA8467A9}"/>
    <cellStyle name="Normal 8 5 6" xfId="2218" xr:uid="{00000000-0005-0000-0000-0000401E0000}"/>
    <cellStyle name="Normal 8 5 6 2" xfId="4447" xr:uid="{00000000-0005-0000-0000-0000411E0000}"/>
    <cellStyle name="Normal 8 5 6 2 2" xfId="8670" xr:uid="{00000000-0005-0000-0000-0000421E0000}"/>
    <cellStyle name="Normal 8 5 6 2 2 2" xfId="17112" xr:uid="{2F00680B-2CEA-4788-9594-A162B23ED901}"/>
    <cellStyle name="Normal 8 5 6 2 3" xfId="12894" xr:uid="{A7610A48-E15D-405B-8B79-3450F12BAF14}"/>
    <cellStyle name="Normal 8 5 6 3" xfId="6525" xr:uid="{00000000-0005-0000-0000-0000431E0000}"/>
    <cellStyle name="Normal 8 5 6 3 2" xfId="14967" xr:uid="{BA5CAFDC-196A-4A62-B365-0118D56BD1EC}"/>
    <cellStyle name="Normal 8 5 6 4" xfId="10749" xr:uid="{C506DD42-6091-43DE-B25B-798300C60CF4}"/>
    <cellStyle name="Normal 8 5 7" xfId="2654" xr:uid="{00000000-0005-0000-0000-0000441E0000}"/>
    <cellStyle name="Normal 8 5 7 2" xfId="6938" xr:uid="{00000000-0005-0000-0000-0000451E0000}"/>
    <cellStyle name="Normal 8 5 7 2 2" xfId="15380" xr:uid="{53FEB856-5297-4A53-B2B8-F0BDADE95CF8}"/>
    <cellStyle name="Normal 8 5 7 3" xfId="11162" xr:uid="{9B40FCD5-FF05-40A3-B8AF-8E1D1276B863}"/>
    <cellStyle name="Normal 8 5 8" xfId="4873" xr:uid="{00000000-0005-0000-0000-0000461E0000}"/>
    <cellStyle name="Normal 8 5 8 2" xfId="13315" xr:uid="{AFD63EA8-5ADC-4483-B5DC-13779B6B4604}"/>
    <cellStyle name="Normal 8 5 9" xfId="9097" xr:uid="{89C27AC3-6963-49AB-A818-9CC69E9D9783}"/>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0A41571C-A4BF-44E8-96FB-898F48E4C796}"/>
    <cellStyle name="Normal 8 6 2 2 3" xfId="11657" xr:uid="{080A5EFC-A175-49B8-8905-651AEDD0AC07}"/>
    <cellStyle name="Normal 8 6 2 3" xfId="5288" xr:uid="{00000000-0005-0000-0000-00004B1E0000}"/>
    <cellStyle name="Normal 8 6 2 3 2" xfId="13730" xr:uid="{2A986621-6042-415C-BBC0-233B5BAB0315}"/>
    <cellStyle name="Normal 8 6 2 4" xfId="9512" xr:uid="{29944678-8E8E-4B32-956A-6D752FB5DACD}"/>
    <cellStyle name="Normal 8 6 3" xfId="1393" xr:uid="{00000000-0005-0000-0000-00004C1E0000}"/>
    <cellStyle name="Normal 8 6 3 2" xfId="3623" xr:uid="{00000000-0005-0000-0000-00004D1E0000}"/>
    <cellStyle name="Normal 8 6 3 2 2" xfId="7846" xr:uid="{00000000-0005-0000-0000-00004E1E0000}"/>
    <cellStyle name="Normal 8 6 3 2 2 2" xfId="16288" xr:uid="{D0BC511D-0F39-47AA-AA06-AE984E1199DC}"/>
    <cellStyle name="Normal 8 6 3 2 3" xfId="12070" xr:uid="{120876B3-8FF6-4FAB-85BA-EC919B2536BE}"/>
    <cellStyle name="Normal 8 6 3 3" xfId="5701" xr:uid="{00000000-0005-0000-0000-00004F1E0000}"/>
    <cellStyle name="Normal 8 6 3 3 2" xfId="14143" xr:uid="{E3C98EF4-D61A-46D3-8FFF-5A267C31379D}"/>
    <cellStyle name="Normal 8 6 3 4" xfId="9925" xr:uid="{323F5BD7-7F17-4CD2-8A09-B48E701CB966}"/>
    <cellStyle name="Normal 8 6 4" xfId="1806" xr:uid="{00000000-0005-0000-0000-0000501E0000}"/>
    <cellStyle name="Normal 8 6 4 2" xfId="4036" xr:uid="{00000000-0005-0000-0000-0000511E0000}"/>
    <cellStyle name="Normal 8 6 4 2 2" xfId="8259" xr:uid="{00000000-0005-0000-0000-0000521E0000}"/>
    <cellStyle name="Normal 8 6 4 2 2 2" xfId="16701" xr:uid="{B8682827-A51A-4108-B702-3C7ED5D8B8E9}"/>
    <cellStyle name="Normal 8 6 4 2 3" xfId="12483" xr:uid="{EA2A6DD1-4DB6-4C47-A7AF-E9A0545C375E}"/>
    <cellStyle name="Normal 8 6 4 3" xfId="6114" xr:uid="{00000000-0005-0000-0000-0000531E0000}"/>
    <cellStyle name="Normal 8 6 4 3 2" xfId="14556" xr:uid="{5EBB3046-D8D4-4152-8F26-1F25D14452EC}"/>
    <cellStyle name="Normal 8 6 4 4" xfId="10338" xr:uid="{FED33EA4-F4DE-424E-9AAB-16884D840DBA}"/>
    <cellStyle name="Normal 8 6 5" xfId="2220" xr:uid="{00000000-0005-0000-0000-0000541E0000}"/>
    <cellStyle name="Normal 8 6 5 2" xfId="4449" xr:uid="{00000000-0005-0000-0000-0000551E0000}"/>
    <cellStyle name="Normal 8 6 5 2 2" xfId="8672" xr:uid="{00000000-0005-0000-0000-0000561E0000}"/>
    <cellStyle name="Normal 8 6 5 2 2 2" xfId="17114" xr:uid="{422AD39A-8908-4FB5-A010-0ED8CC326ECC}"/>
    <cellStyle name="Normal 8 6 5 2 3" xfId="12896" xr:uid="{0D14EA77-1CDA-4765-AF9B-A23BBD7A886D}"/>
    <cellStyle name="Normal 8 6 5 3" xfId="6527" xr:uid="{00000000-0005-0000-0000-0000571E0000}"/>
    <cellStyle name="Normal 8 6 5 3 2" xfId="14969" xr:uid="{074D58E7-5095-4946-971E-9C0988B126DE}"/>
    <cellStyle name="Normal 8 6 5 4" xfId="10751" xr:uid="{970DDC93-27F4-424F-9C50-207E8B42381F}"/>
    <cellStyle name="Normal 8 6 6" xfId="2656" xr:uid="{00000000-0005-0000-0000-0000581E0000}"/>
    <cellStyle name="Normal 8 6 6 2" xfId="6940" xr:uid="{00000000-0005-0000-0000-0000591E0000}"/>
    <cellStyle name="Normal 8 6 6 2 2" xfId="15382" xr:uid="{9C347B91-5E7A-4065-86AC-388CC7021445}"/>
    <cellStyle name="Normal 8 6 6 3" xfId="11164" xr:uid="{312A8610-96F7-4B32-94DC-CED633ADDAFA}"/>
    <cellStyle name="Normal 8 6 7" xfId="4875" xr:uid="{00000000-0005-0000-0000-00005A1E0000}"/>
    <cellStyle name="Normal 8 6 7 2" xfId="13317" xr:uid="{E3A6288F-7654-4E67-96E1-F9CE0A52B5AC}"/>
    <cellStyle name="Normal 8 6 8" xfId="9099" xr:uid="{28CBC152-EF0D-40C8-8040-E7108F344B6A}"/>
    <cellStyle name="Normal 8 7" xfId="945" xr:uid="{00000000-0005-0000-0000-00005B1E0000}"/>
    <cellStyle name="Normal 8 7 2" xfId="3179" xr:uid="{00000000-0005-0000-0000-00005C1E0000}"/>
    <cellStyle name="Normal 8 7 2 2" xfId="7402" xr:uid="{00000000-0005-0000-0000-00005D1E0000}"/>
    <cellStyle name="Normal 8 7 2 2 2" xfId="15844" xr:uid="{93B1F0A6-106E-4408-9A4C-090D552CAC0B}"/>
    <cellStyle name="Normal 8 7 2 3" xfId="11626" xr:uid="{03664515-BFFB-43D2-A4BC-4250555A838F}"/>
    <cellStyle name="Normal 8 7 3" xfId="5257" xr:uid="{00000000-0005-0000-0000-00005E1E0000}"/>
    <cellStyle name="Normal 8 7 3 2" xfId="13699" xr:uid="{0F5953F9-9132-4ECF-ABB0-663871F9A04A}"/>
    <cellStyle name="Normal 8 7 4" xfId="9481" xr:uid="{30B05C00-0999-4F1A-B8C2-27938674A502}"/>
    <cellStyle name="Normal 8 8" xfId="1362" xr:uid="{00000000-0005-0000-0000-00005F1E0000}"/>
    <cellStyle name="Normal 8 8 2" xfId="3592" xr:uid="{00000000-0005-0000-0000-0000601E0000}"/>
    <cellStyle name="Normal 8 8 2 2" xfId="7815" xr:uid="{00000000-0005-0000-0000-0000611E0000}"/>
    <cellStyle name="Normal 8 8 2 2 2" xfId="16257" xr:uid="{B398529F-9E3E-49A1-A59A-F53FF4AAFAC5}"/>
    <cellStyle name="Normal 8 8 2 3" xfId="12039" xr:uid="{76A6265B-0163-4315-87CD-D547FE082DCB}"/>
    <cellStyle name="Normal 8 8 3" xfId="5670" xr:uid="{00000000-0005-0000-0000-0000621E0000}"/>
    <cellStyle name="Normal 8 8 3 2" xfId="14112" xr:uid="{1821B968-6F4D-4A58-8169-A9DFCC5F302F}"/>
    <cellStyle name="Normal 8 8 4" xfId="9894" xr:uid="{4E0178F6-1B4D-4176-90E1-2D27765BECC7}"/>
    <cellStyle name="Normal 8 9" xfId="1775" xr:uid="{00000000-0005-0000-0000-0000631E0000}"/>
    <cellStyle name="Normal 8 9 2" xfId="4005" xr:uid="{00000000-0005-0000-0000-0000641E0000}"/>
    <cellStyle name="Normal 8 9 2 2" xfId="8228" xr:uid="{00000000-0005-0000-0000-0000651E0000}"/>
    <cellStyle name="Normal 8 9 2 2 2" xfId="16670" xr:uid="{351582A4-51B5-471C-BAA8-E65135294662}"/>
    <cellStyle name="Normal 8 9 2 3" xfId="12452" xr:uid="{805E924B-DF25-49D7-BCC6-646FC4474536}"/>
    <cellStyle name="Normal 8 9 3" xfId="6083" xr:uid="{00000000-0005-0000-0000-0000661E0000}"/>
    <cellStyle name="Normal 8 9 3 2" xfId="14525" xr:uid="{71E65B9C-3706-4088-8FC7-CA02A740B237}"/>
    <cellStyle name="Normal 8 9 4" xfId="10307" xr:uid="{3802E869-98C7-4C27-BD99-94F49A24DB91}"/>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841D6B2E-FDE9-45BF-A92A-8C7AD45A85DE}"/>
    <cellStyle name="Normal 9 2 10 3" xfId="11165" xr:uid="{E01BF44D-AE62-4F82-8505-FE882DEE250F}"/>
    <cellStyle name="Normal 9 2 11" xfId="4876" xr:uid="{00000000-0005-0000-0000-00006B1E0000}"/>
    <cellStyle name="Normal 9 2 11 2" xfId="13318" xr:uid="{5B362DE8-4C79-4FCC-A842-52ED8C964EDA}"/>
    <cellStyle name="Normal 9 2 12" xfId="9100" xr:uid="{5A1CE653-9BA3-4332-962E-9EB9BE430F9E}"/>
    <cellStyle name="Normal 9 2 2" xfId="512" xr:uid="{00000000-0005-0000-0000-00006C1E0000}"/>
    <cellStyle name="Normal 9 2 2 10" xfId="4877" xr:uid="{00000000-0005-0000-0000-00006D1E0000}"/>
    <cellStyle name="Normal 9 2 2 10 2" xfId="13319" xr:uid="{0BC4E141-E12D-4441-B683-23C58D768EC3}"/>
    <cellStyle name="Normal 9 2 2 11" xfId="9101" xr:uid="{AD32F362-5A84-4812-9CE0-2EB6C1CC0204}"/>
    <cellStyle name="Normal 9 2 2 2" xfId="513" xr:uid="{00000000-0005-0000-0000-00006E1E0000}"/>
    <cellStyle name="Normal 9 2 2 2 10" xfId="9102" xr:uid="{A9EFFB4F-6245-4823-92B4-D7432D05574C}"/>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C3BB55CF-5F1E-406B-88BB-659AE6A83AD6}"/>
    <cellStyle name="Normal 9 2 2 2 2 2 2 2 3" xfId="11662" xr:uid="{C79BB3CC-C990-45D0-BD9B-AAF208C98B6B}"/>
    <cellStyle name="Normal 9 2 2 2 2 2 2 3" xfId="5293" xr:uid="{00000000-0005-0000-0000-0000741E0000}"/>
    <cellStyle name="Normal 9 2 2 2 2 2 2 3 2" xfId="13735" xr:uid="{0DAEE541-C57F-4798-84F4-66097D27A82F}"/>
    <cellStyle name="Normal 9 2 2 2 2 2 2 4" xfId="9517" xr:uid="{3A035814-AAAE-446E-AC31-896D7409021C}"/>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31E3AF2C-A1DA-4E15-BDEB-E6D0818FE063}"/>
    <cellStyle name="Normal 9 2 2 2 2 2 3 2 3" xfId="12075" xr:uid="{94B8CE83-9A62-42E8-A42F-C8475661721C}"/>
    <cellStyle name="Normal 9 2 2 2 2 2 3 3" xfId="5706" xr:uid="{00000000-0005-0000-0000-0000781E0000}"/>
    <cellStyle name="Normal 9 2 2 2 2 2 3 3 2" xfId="14148" xr:uid="{A2A6592E-CB7D-4B36-A5F7-1461BDA90ADF}"/>
    <cellStyle name="Normal 9 2 2 2 2 2 3 4" xfId="9930" xr:uid="{41A2C97A-524D-4CA7-B171-18153A07C59F}"/>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105CDE69-A001-4DE8-A6B3-1170BCDDF29D}"/>
    <cellStyle name="Normal 9 2 2 2 2 2 4 2 3" xfId="12488" xr:uid="{DA47FDB3-0D9E-4C61-B119-C1C439C9B5DB}"/>
    <cellStyle name="Normal 9 2 2 2 2 2 4 3" xfId="6119" xr:uid="{00000000-0005-0000-0000-00007C1E0000}"/>
    <cellStyle name="Normal 9 2 2 2 2 2 4 3 2" xfId="14561" xr:uid="{F96F77D0-FC06-4250-BD5A-B1AB057A40F9}"/>
    <cellStyle name="Normal 9 2 2 2 2 2 4 4" xfId="10343" xr:uid="{6E028B28-89EB-49DE-B35D-762E5C5828FC}"/>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918EB229-3EF2-4AC9-A332-8D46810C8284}"/>
    <cellStyle name="Normal 9 2 2 2 2 2 5 2 3" xfId="12901" xr:uid="{FAC98F0D-1D0A-4AD7-B8A4-32618692A7E2}"/>
    <cellStyle name="Normal 9 2 2 2 2 2 5 3" xfId="6532" xr:uid="{00000000-0005-0000-0000-0000801E0000}"/>
    <cellStyle name="Normal 9 2 2 2 2 2 5 3 2" xfId="14974" xr:uid="{CE87E425-AF62-44BD-B908-F1471E48508B}"/>
    <cellStyle name="Normal 9 2 2 2 2 2 5 4" xfId="10756" xr:uid="{8B77B64E-AB69-4E1C-ABB9-0638AEC741E4}"/>
    <cellStyle name="Normal 9 2 2 2 2 2 6" xfId="2661" xr:uid="{00000000-0005-0000-0000-0000811E0000}"/>
    <cellStyle name="Normal 9 2 2 2 2 2 6 2" xfId="6945" xr:uid="{00000000-0005-0000-0000-0000821E0000}"/>
    <cellStyle name="Normal 9 2 2 2 2 2 6 2 2" xfId="15387" xr:uid="{E1CA31F2-9B8E-4247-B3FD-A474F0030580}"/>
    <cellStyle name="Normal 9 2 2 2 2 2 6 3" xfId="11169" xr:uid="{4113CA2E-D563-47FF-8E14-E1641D99B846}"/>
    <cellStyle name="Normal 9 2 2 2 2 2 7" xfId="4880" xr:uid="{00000000-0005-0000-0000-0000831E0000}"/>
    <cellStyle name="Normal 9 2 2 2 2 2 7 2" xfId="13322" xr:uid="{43F2C5E2-5A89-4E20-8E23-46D12B010212}"/>
    <cellStyle name="Normal 9 2 2 2 2 2 8" xfId="9104" xr:uid="{AAE4479A-E0E9-4655-A7D7-17F337F80F14}"/>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391F546C-2D75-4D28-B620-D9A2EFC2FDA8}"/>
    <cellStyle name="Normal 9 2 2 2 2 3 2 3" xfId="11661" xr:uid="{26DC0A57-629F-4EC6-B1CA-DCF3037831DB}"/>
    <cellStyle name="Normal 9 2 2 2 2 3 3" xfId="5292" xr:uid="{00000000-0005-0000-0000-0000871E0000}"/>
    <cellStyle name="Normal 9 2 2 2 2 3 3 2" xfId="13734" xr:uid="{2AA2EB7C-7A7E-42CC-8F69-B5E53F5326E1}"/>
    <cellStyle name="Normal 9 2 2 2 2 3 4" xfId="9516" xr:uid="{8CA68705-01D1-4443-B77C-84158DE78788}"/>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52C845CB-39C6-4D82-BFD8-D24BCF9243C3}"/>
    <cellStyle name="Normal 9 2 2 2 2 4 2 3" xfId="12074" xr:uid="{C3D206AA-41B8-4F3F-8E2C-3130EA0AD2D5}"/>
    <cellStyle name="Normal 9 2 2 2 2 4 3" xfId="5705" xr:uid="{00000000-0005-0000-0000-00008B1E0000}"/>
    <cellStyle name="Normal 9 2 2 2 2 4 3 2" xfId="14147" xr:uid="{709E9E96-101D-4627-8E76-6F1FCCED4E6A}"/>
    <cellStyle name="Normal 9 2 2 2 2 4 4" xfId="9929" xr:uid="{1792F966-086E-443F-9F3C-E4650D66EA31}"/>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58954E84-0363-418A-BDA5-F2C7B72AF943}"/>
    <cellStyle name="Normal 9 2 2 2 2 5 2 3" xfId="12487" xr:uid="{C76BF333-3087-4926-97D0-C49E69BC2E54}"/>
    <cellStyle name="Normal 9 2 2 2 2 5 3" xfId="6118" xr:uid="{00000000-0005-0000-0000-00008F1E0000}"/>
    <cellStyle name="Normal 9 2 2 2 2 5 3 2" xfId="14560" xr:uid="{BB86F68E-5807-4713-BF3E-AE81162E3793}"/>
    <cellStyle name="Normal 9 2 2 2 2 5 4" xfId="10342" xr:uid="{FB2D36D2-7CF7-46B4-AD9F-545818AC8D98}"/>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A1483B00-362C-4F8E-8651-03A43C8B0B02}"/>
    <cellStyle name="Normal 9 2 2 2 2 6 2 3" xfId="12900" xr:uid="{E124CE55-559A-448A-942A-5803EF607DBB}"/>
    <cellStyle name="Normal 9 2 2 2 2 6 3" xfId="6531" xr:uid="{00000000-0005-0000-0000-0000931E0000}"/>
    <cellStyle name="Normal 9 2 2 2 2 6 3 2" xfId="14973" xr:uid="{7E2397DB-5FD8-42F2-8813-167A4C7796EB}"/>
    <cellStyle name="Normal 9 2 2 2 2 6 4" xfId="10755" xr:uid="{ADBD7F08-ED96-4289-B712-5F6758F2BA4D}"/>
    <cellStyle name="Normal 9 2 2 2 2 7" xfId="2660" xr:uid="{00000000-0005-0000-0000-0000941E0000}"/>
    <cellStyle name="Normal 9 2 2 2 2 7 2" xfId="6944" xr:uid="{00000000-0005-0000-0000-0000951E0000}"/>
    <cellStyle name="Normal 9 2 2 2 2 7 2 2" xfId="15386" xr:uid="{D08D4833-C765-47F5-BB13-6C384917E55B}"/>
    <cellStyle name="Normal 9 2 2 2 2 7 3" xfId="11168" xr:uid="{887E330B-91F2-4FC5-AAA1-D6F6FBBD8B08}"/>
    <cellStyle name="Normal 9 2 2 2 2 8" xfId="4879" xr:uid="{00000000-0005-0000-0000-0000961E0000}"/>
    <cellStyle name="Normal 9 2 2 2 2 8 2" xfId="13321" xr:uid="{529724E5-F24E-47D6-9B05-05FB21753340}"/>
    <cellStyle name="Normal 9 2 2 2 2 9" xfId="9103" xr:uid="{D37F7738-3A70-4488-8893-84A1D00807CC}"/>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57C887A5-C8BC-4A9E-9A5D-192CC8DD0C58}"/>
    <cellStyle name="Normal 9 2 2 2 3 2 2 3" xfId="11663" xr:uid="{2A7E8A37-A1AD-4BE3-85A2-374285CC1DA9}"/>
    <cellStyle name="Normal 9 2 2 2 3 2 3" xfId="5294" xr:uid="{00000000-0005-0000-0000-00009B1E0000}"/>
    <cellStyle name="Normal 9 2 2 2 3 2 3 2" xfId="13736" xr:uid="{6162CC40-E0B7-475A-85CD-DD2F971CD55C}"/>
    <cellStyle name="Normal 9 2 2 2 3 2 4" xfId="9518" xr:uid="{DA2C6300-3CEF-43C4-9AB1-96157C6CD7E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C204343E-BA3F-438D-80DD-EF6966D1103E}"/>
    <cellStyle name="Normal 9 2 2 2 3 3 2 3" xfId="12076" xr:uid="{4526A3C2-5F17-49BE-82CA-4D922AA6E897}"/>
    <cellStyle name="Normal 9 2 2 2 3 3 3" xfId="5707" xr:uid="{00000000-0005-0000-0000-00009F1E0000}"/>
    <cellStyle name="Normal 9 2 2 2 3 3 3 2" xfId="14149" xr:uid="{3D4369EE-5198-4014-B225-C3819B75BF60}"/>
    <cellStyle name="Normal 9 2 2 2 3 3 4" xfId="9931" xr:uid="{E25876E0-26E8-4908-B6F7-361D8034E8E1}"/>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70EC49AE-50EC-40BB-823D-332ADA823F13}"/>
    <cellStyle name="Normal 9 2 2 2 3 4 2 3" xfId="12489" xr:uid="{CF5416DC-97AE-4C53-A2CA-9EB583F90780}"/>
    <cellStyle name="Normal 9 2 2 2 3 4 3" xfId="6120" xr:uid="{00000000-0005-0000-0000-0000A31E0000}"/>
    <cellStyle name="Normal 9 2 2 2 3 4 3 2" xfId="14562" xr:uid="{D2422B15-D4BF-4CB3-9733-FBB0FCA19580}"/>
    <cellStyle name="Normal 9 2 2 2 3 4 4" xfId="10344" xr:uid="{04F58713-D58F-4CB9-843A-1B839646BFA3}"/>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71FD056A-365B-4B00-BAF2-C59151FF40AA}"/>
    <cellStyle name="Normal 9 2 2 2 3 5 2 3" xfId="12902" xr:uid="{00A3EFE0-BF6B-4E30-9387-63B8D6C8043A}"/>
    <cellStyle name="Normal 9 2 2 2 3 5 3" xfId="6533" xr:uid="{00000000-0005-0000-0000-0000A71E0000}"/>
    <cellStyle name="Normal 9 2 2 2 3 5 3 2" xfId="14975" xr:uid="{1D2DDEBE-3D99-45AC-8DA0-CD6C1A22DF88}"/>
    <cellStyle name="Normal 9 2 2 2 3 5 4" xfId="10757" xr:uid="{C1F54EAF-BDEA-4A27-916C-5C0B4DBB93BB}"/>
    <cellStyle name="Normal 9 2 2 2 3 6" xfId="2662" xr:uid="{00000000-0005-0000-0000-0000A81E0000}"/>
    <cellStyle name="Normal 9 2 2 2 3 6 2" xfId="6946" xr:uid="{00000000-0005-0000-0000-0000A91E0000}"/>
    <cellStyle name="Normal 9 2 2 2 3 6 2 2" xfId="15388" xr:uid="{89DEA3DF-D7D6-4AD8-BFC5-E26970FBE11E}"/>
    <cellStyle name="Normal 9 2 2 2 3 6 3" xfId="11170" xr:uid="{5CB2477F-21FB-4B96-876F-AAFCA78E57A1}"/>
    <cellStyle name="Normal 9 2 2 2 3 7" xfId="4881" xr:uid="{00000000-0005-0000-0000-0000AA1E0000}"/>
    <cellStyle name="Normal 9 2 2 2 3 7 2" xfId="13323" xr:uid="{57AEE65B-E088-41F2-AE6D-1B897EAA1D38}"/>
    <cellStyle name="Normal 9 2 2 2 3 8" xfId="9105" xr:uid="{7F704DC9-3693-4B17-BE4E-6451D525E87B}"/>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76DF0D8A-022E-498B-96C7-E817AE5DEBC8}"/>
    <cellStyle name="Normal 9 2 2 2 4 2 3" xfId="11660" xr:uid="{2B05BAE4-560E-4C1F-BC27-B5F2B9631A5D}"/>
    <cellStyle name="Normal 9 2 2 2 4 3" xfId="5291" xr:uid="{00000000-0005-0000-0000-0000AE1E0000}"/>
    <cellStyle name="Normal 9 2 2 2 4 3 2" xfId="13733" xr:uid="{69587389-F1BD-4C4B-B037-187DDF003E1C}"/>
    <cellStyle name="Normal 9 2 2 2 4 4" xfId="9515" xr:uid="{F78DABF5-1BE3-4095-99E6-C6DADE6E8DA1}"/>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87E27FD6-FF6F-45D0-B227-6AE57CE5ACF3}"/>
    <cellStyle name="Normal 9 2 2 2 5 2 3" xfId="12073" xr:uid="{70612F75-75A6-497C-9E1C-3156AEFA1240}"/>
    <cellStyle name="Normal 9 2 2 2 5 3" xfId="5704" xr:uid="{00000000-0005-0000-0000-0000B21E0000}"/>
    <cellStyle name="Normal 9 2 2 2 5 3 2" xfId="14146" xr:uid="{3B311398-36F9-4A2B-A8E6-896EFA718E6D}"/>
    <cellStyle name="Normal 9 2 2 2 5 4" xfId="9928" xr:uid="{FF8A6CC4-E132-4426-A747-5D7F9CAAD5A1}"/>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BA8B6061-1B98-412D-B8AE-C50C67E2B07F}"/>
    <cellStyle name="Normal 9 2 2 2 6 2 3" xfId="12486" xr:uid="{D9F61FD2-5898-4BEC-A0BC-377ABE126129}"/>
    <cellStyle name="Normal 9 2 2 2 6 3" xfId="6117" xr:uid="{00000000-0005-0000-0000-0000B61E0000}"/>
    <cellStyle name="Normal 9 2 2 2 6 3 2" xfId="14559" xr:uid="{8284F7B9-F0CD-48EC-9A12-5805ED5CE1FA}"/>
    <cellStyle name="Normal 9 2 2 2 6 4" xfId="10341" xr:uid="{193D057C-ADCD-4FA2-864A-AE376489BF7F}"/>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585C7117-16ED-4466-B4AF-8CDCBD6A5EA0}"/>
    <cellStyle name="Normal 9 2 2 2 7 2 3" xfId="12899" xr:uid="{02E09994-4CF9-4720-9B59-EAFFE06DCA2F}"/>
    <cellStyle name="Normal 9 2 2 2 7 3" xfId="6530" xr:uid="{00000000-0005-0000-0000-0000BA1E0000}"/>
    <cellStyle name="Normal 9 2 2 2 7 3 2" xfId="14972" xr:uid="{B28864E8-BDA6-4107-A104-24C57D2490F2}"/>
    <cellStyle name="Normal 9 2 2 2 7 4" xfId="10754" xr:uid="{A2544879-0E41-4FB9-A569-1F1D65273598}"/>
    <cellStyle name="Normal 9 2 2 2 8" xfId="2659" xr:uid="{00000000-0005-0000-0000-0000BB1E0000}"/>
    <cellStyle name="Normal 9 2 2 2 8 2" xfId="6943" xr:uid="{00000000-0005-0000-0000-0000BC1E0000}"/>
    <cellStyle name="Normal 9 2 2 2 8 2 2" xfId="15385" xr:uid="{C20294CC-ABC6-4BE1-BD3B-893ABCE7D7A8}"/>
    <cellStyle name="Normal 9 2 2 2 8 3" xfId="11167" xr:uid="{132823CA-2639-49C8-8773-919A45A37E2C}"/>
    <cellStyle name="Normal 9 2 2 2 9" xfId="4878" xr:uid="{00000000-0005-0000-0000-0000BD1E0000}"/>
    <cellStyle name="Normal 9 2 2 2 9 2" xfId="13320" xr:uid="{EC59533E-9BCD-4D3E-9E38-9ACE25D2E07C}"/>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4283F4C5-8025-49BA-8F8D-A3444C60CE0C}"/>
    <cellStyle name="Normal 9 2 2 3 2 2 2 3" xfId="11665" xr:uid="{A1D46125-A5EE-4620-9C1A-A0C447C37BDE}"/>
    <cellStyle name="Normal 9 2 2 3 2 2 3" xfId="5296" xr:uid="{00000000-0005-0000-0000-0000C31E0000}"/>
    <cellStyle name="Normal 9 2 2 3 2 2 3 2" xfId="13738" xr:uid="{05ED3E36-4C61-472B-B0CD-064B885D495D}"/>
    <cellStyle name="Normal 9 2 2 3 2 2 4" xfId="9520" xr:uid="{76389900-8E9C-4DDC-A425-4CA1E118B01E}"/>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CCB17A68-6EDE-42F3-BD94-1871556DE381}"/>
    <cellStyle name="Normal 9 2 2 3 2 3 2 3" xfId="12078" xr:uid="{FAE83D96-B19D-4C70-85F8-B43008D4FA6F}"/>
    <cellStyle name="Normal 9 2 2 3 2 3 3" xfId="5709" xr:uid="{00000000-0005-0000-0000-0000C71E0000}"/>
    <cellStyle name="Normal 9 2 2 3 2 3 3 2" xfId="14151" xr:uid="{B813BD7A-47C8-4CA3-BE76-F618D42A062B}"/>
    <cellStyle name="Normal 9 2 2 3 2 3 4" xfId="9933" xr:uid="{948137DE-D781-4235-B5A4-3C8AB59342D7}"/>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B839B564-487A-44C2-A0C4-9ACC367197B6}"/>
    <cellStyle name="Normal 9 2 2 3 2 4 2 3" xfId="12491" xr:uid="{FE2A41B6-14B6-4202-9827-7FDA26516034}"/>
    <cellStyle name="Normal 9 2 2 3 2 4 3" xfId="6122" xr:uid="{00000000-0005-0000-0000-0000CB1E0000}"/>
    <cellStyle name="Normal 9 2 2 3 2 4 3 2" xfId="14564" xr:uid="{91600B2A-0D55-4FC1-9615-B9C62225F7C7}"/>
    <cellStyle name="Normal 9 2 2 3 2 4 4" xfId="10346" xr:uid="{FB807243-64D5-45CD-9234-37D67FC83F75}"/>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8269E87B-93A6-4CCC-9597-2C6C5445C64A}"/>
    <cellStyle name="Normal 9 2 2 3 2 5 2 3" xfId="12904" xr:uid="{86C4310B-398A-44A1-BE77-9B05E058DACC}"/>
    <cellStyle name="Normal 9 2 2 3 2 5 3" xfId="6535" xr:uid="{00000000-0005-0000-0000-0000CF1E0000}"/>
    <cellStyle name="Normal 9 2 2 3 2 5 3 2" xfId="14977" xr:uid="{5F4C4EF2-05BF-4244-B225-C39125D3F8D3}"/>
    <cellStyle name="Normal 9 2 2 3 2 5 4" xfId="10759" xr:uid="{68332923-D87E-4A44-B6F8-3A5FAF8EC169}"/>
    <cellStyle name="Normal 9 2 2 3 2 6" xfId="2664" xr:uid="{00000000-0005-0000-0000-0000D01E0000}"/>
    <cellStyle name="Normal 9 2 2 3 2 6 2" xfId="6948" xr:uid="{00000000-0005-0000-0000-0000D11E0000}"/>
    <cellStyle name="Normal 9 2 2 3 2 6 2 2" xfId="15390" xr:uid="{FF30C110-25CA-4C28-BABE-617576080949}"/>
    <cellStyle name="Normal 9 2 2 3 2 6 3" xfId="11172" xr:uid="{06DBC64F-7083-4C96-9C06-D93B4D21E36B}"/>
    <cellStyle name="Normal 9 2 2 3 2 7" xfId="4883" xr:uid="{00000000-0005-0000-0000-0000D21E0000}"/>
    <cellStyle name="Normal 9 2 2 3 2 7 2" xfId="13325" xr:uid="{C57F35CE-60F9-4E93-A60D-DEF5A86DBBE2}"/>
    <cellStyle name="Normal 9 2 2 3 2 8" xfId="9107" xr:uid="{E393ABF6-2861-4987-9DD3-6AFC456E88CC}"/>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BBCEB279-8588-4776-B70F-0F8F427AE367}"/>
    <cellStyle name="Normal 9 2 2 3 3 2 3" xfId="11664" xr:uid="{3D2D241B-48E9-4C32-BD33-342945A92D8B}"/>
    <cellStyle name="Normal 9 2 2 3 3 3" xfId="5295" xr:uid="{00000000-0005-0000-0000-0000D61E0000}"/>
    <cellStyle name="Normal 9 2 2 3 3 3 2" xfId="13737" xr:uid="{C8EA468C-C806-4376-916C-71C7755F2594}"/>
    <cellStyle name="Normal 9 2 2 3 3 4" xfId="9519" xr:uid="{30BAE0C0-267C-4C69-B9EA-BB06C701AB7C}"/>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4C708533-8572-4262-9819-5A561673CE11}"/>
    <cellStyle name="Normal 9 2 2 3 4 2 3" xfId="12077" xr:uid="{50107EF0-973D-4CB4-B829-401BD77F9BE6}"/>
    <cellStyle name="Normal 9 2 2 3 4 3" xfId="5708" xr:uid="{00000000-0005-0000-0000-0000DA1E0000}"/>
    <cellStyle name="Normal 9 2 2 3 4 3 2" xfId="14150" xr:uid="{DABD6869-ECDB-4F11-A475-97234BDB10CD}"/>
    <cellStyle name="Normal 9 2 2 3 4 4" xfId="9932" xr:uid="{B3FCA440-234F-4FFC-AC1C-79730F990634}"/>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E9E8F0AB-ADA1-4577-89E5-641A0D6D326C}"/>
    <cellStyle name="Normal 9 2 2 3 5 2 3" xfId="12490" xr:uid="{738CAF2D-7A4A-471B-BA85-41402E808A86}"/>
    <cellStyle name="Normal 9 2 2 3 5 3" xfId="6121" xr:uid="{00000000-0005-0000-0000-0000DE1E0000}"/>
    <cellStyle name="Normal 9 2 2 3 5 3 2" xfId="14563" xr:uid="{6C4E4268-0870-47CC-9D8A-43A1490107EE}"/>
    <cellStyle name="Normal 9 2 2 3 5 4" xfId="10345" xr:uid="{06B48478-4A12-478D-93E7-7E0A0EC016C3}"/>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508C70E1-990B-4C8B-B10B-37685B538FFE}"/>
    <cellStyle name="Normal 9 2 2 3 6 2 3" xfId="12903" xr:uid="{0B29A06C-FA34-404A-BC6F-84D306995645}"/>
    <cellStyle name="Normal 9 2 2 3 6 3" xfId="6534" xr:uid="{00000000-0005-0000-0000-0000E21E0000}"/>
    <cellStyle name="Normal 9 2 2 3 6 3 2" xfId="14976" xr:uid="{A329C41E-5F83-4AA6-8728-A1B8E7CA4CC0}"/>
    <cellStyle name="Normal 9 2 2 3 6 4" xfId="10758" xr:uid="{AF5D19FE-C74E-463E-8BC6-D431519169E1}"/>
    <cellStyle name="Normal 9 2 2 3 7" xfId="2663" xr:uid="{00000000-0005-0000-0000-0000E31E0000}"/>
    <cellStyle name="Normal 9 2 2 3 7 2" xfId="6947" xr:uid="{00000000-0005-0000-0000-0000E41E0000}"/>
    <cellStyle name="Normal 9 2 2 3 7 2 2" xfId="15389" xr:uid="{35B18A3D-A58A-4029-B8B4-ADB73E613FC8}"/>
    <cellStyle name="Normal 9 2 2 3 7 3" xfId="11171" xr:uid="{4D5DB94C-EF3D-4DAE-B590-FC0B108E481F}"/>
    <cellStyle name="Normal 9 2 2 3 8" xfId="4882" xr:uid="{00000000-0005-0000-0000-0000E51E0000}"/>
    <cellStyle name="Normal 9 2 2 3 8 2" xfId="13324" xr:uid="{576B67B3-BFB8-430B-92C7-3CD5389AEFC5}"/>
    <cellStyle name="Normal 9 2 2 3 9" xfId="9106" xr:uid="{05CD390E-B996-410C-8248-2C4ACD1A978F}"/>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3D08647B-564B-43CD-9F0E-87D7811B0025}"/>
    <cellStyle name="Normal 9 2 2 4 2 2 3" xfId="11666" xr:uid="{2B4965DF-CBB0-4ACD-948C-26B1CEED53BC}"/>
    <cellStyle name="Normal 9 2 2 4 2 3" xfId="5297" xr:uid="{00000000-0005-0000-0000-0000EA1E0000}"/>
    <cellStyle name="Normal 9 2 2 4 2 3 2" xfId="13739" xr:uid="{52E71EB1-76C4-4C2D-ADB6-4AF1A920FE50}"/>
    <cellStyle name="Normal 9 2 2 4 2 4" xfId="9521" xr:uid="{A572693A-52E6-4B8F-AD56-2DEDD24841B0}"/>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EA12A10E-D92F-4B42-B1AE-02F1C987EF62}"/>
    <cellStyle name="Normal 9 2 2 4 3 2 3" xfId="12079" xr:uid="{7B7B7A47-A1E9-41EC-8DBA-CB1495DC1146}"/>
    <cellStyle name="Normal 9 2 2 4 3 3" xfId="5710" xr:uid="{00000000-0005-0000-0000-0000EE1E0000}"/>
    <cellStyle name="Normal 9 2 2 4 3 3 2" xfId="14152" xr:uid="{1D4EA913-95CF-43D1-ABE9-6D0B0E4AD982}"/>
    <cellStyle name="Normal 9 2 2 4 3 4" xfId="9934" xr:uid="{DF61BBBF-C403-4C2A-A73D-ED63593E8B76}"/>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279D8D21-7AF8-4293-94FC-F105D3C25392}"/>
    <cellStyle name="Normal 9 2 2 4 4 2 3" xfId="12492" xr:uid="{28645E28-4908-4C70-94FF-3972D8F6E27D}"/>
    <cellStyle name="Normal 9 2 2 4 4 3" xfId="6123" xr:uid="{00000000-0005-0000-0000-0000F21E0000}"/>
    <cellStyle name="Normal 9 2 2 4 4 3 2" xfId="14565" xr:uid="{8DFD5168-4969-4232-B54F-6ADC235C5495}"/>
    <cellStyle name="Normal 9 2 2 4 4 4" xfId="10347" xr:uid="{76C3FCCC-B03A-46D4-AE56-34FA5D5F563D}"/>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D7F33D00-DE05-4657-8F73-EB7B8C08AED3}"/>
    <cellStyle name="Normal 9 2 2 4 5 2 3" xfId="12905" xr:uid="{3CB64D0C-7D67-4098-9684-C1A7C97C079E}"/>
    <cellStyle name="Normal 9 2 2 4 5 3" xfId="6536" xr:uid="{00000000-0005-0000-0000-0000F61E0000}"/>
    <cellStyle name="Normal 9 2 2 4 5 3 2" xfId="14978" xr:uid="{49225C11-F2D7-418D-9573-CE5D052DD4DB}"/>
    <cellStyle name="Normal 9 2 2 4 5 4" xfId="10760" xr:uid="{E22C2006-D254-449B-9F0B-5F36FB2EC75B}"/>
    <cellStyle name="Normal 9 2 2 4 6" xfId="2665" xr:uid="{00000000-0005-0000-0000-0000F71E0000}"/>
    <cellStyle name="Normal 9 2 2 4 6 2" xfId="6949" xr:uid="{00000000-0005-0000-0000-0000F81E0000}"/>
    <cellStyle name="Normal 9 2 2 4 6 2 2" xfId="15391" xr:uid="{3242643A-7545-4557-8F7B-FF943B1AC7E0}"/>
    <cellStyle name="Normal 9 2 2 4 6 3" xfId="11173" xr:uid="{D56E3E41-3872-4AAB-8829-720650DE992B}"/>
    <cellStyle name="Normal 9 2 2 4 7" xfId="4884" xr:uid="{00000000-0005-0000-0000-0000F91E0000}"/>
    <cellStyle name="Normal 9 2 2 4 7 2" xfId="13326" xr:uid="{A5D75A32-71D1-4589-81AF-F84A6C4DBE9C}"/>
    <cellStyle name="Normal 9 2 2 4 8" xfId="9108" xr:uid="{0EAF1DD2-8496-4404-AB1E-3D4C484E75AD}"/>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C299D22B-8EB9-41DD-B599-A6D1E09D0C46}"/>
    <cellStyle name="Normal 9 2 2 5 2 3" xfId="11659" xr:uid="{685E45B1-DA05-4918-A9ED-4AAF5A07B6AD}"/>
    <cellStyle name="Normal 9 2 2 5 3" xfId="5290" xr:uid="{00000000-0005-0000-0000-0000FD1E0000}"/>
    <cellStyle name="Normal 9 2 2 5 3 2" xfId="13732" xr:uid="{95DD16D6-5DB9-4136-B46C-8901F33079AE}"/>
    <cellStyle name="Normal 9 2 2 5 4" xfId="9514" xr:uid="{6583E075-A471-41CE-B3E2-378EE5CDF03A}"/>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AF9CC486-AA9E-452D-A6BA-C26C24D5AC49}"/>
    <cellStyle name="Normal 9 2 2 6 2 3" xfId="12072" xr:uid="{D6B86B55-B517-43B0-9299-F826FFE88BDC}"/>
    <cellStyle name="Normal 9 2 2 6 3" xfId="5703" xr:uid="{00000000-0005-0000-0000-0000011F0000}"/>
    <cellStyle name="Normal 9 2 2 6 3 2" xfId="14145" xr:uid="{D1577E8A-9F68-4143-A5A7-98051A25490E}"/>
    <cellStyle name="Normal 9 2 2 6 4" xfId="9927" xr:uid="{A9EF7919-0B31-4BE1-9FAE-2CC605698773}"/>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65C31CC0-6AB2-472B-94C6-298ECFE79C93}"/>
    <cellStyle name="Normal 9 2 2 7 2 3" xfId="12485" xr:uid="{0C3EC750-4DB8-4990-9ED8-D02FF4DA6330}"/>
    <cellStyle name="Normal 9 2 2 7 3" xfId="6116" xr:uid="{00000000-0005-0000-0000-0000051F0000}"/>
    <cellStyle name="Normal 9 2 2 7 3 2" xfId="14558" xr:uid="{A5AB0B7B-B957-4534-9FAF-FC1B23B52754}"/>
    <cellStyle name="Normal 9 2 2 7 4" xfId="10340" xr:uid="{CBCAA3B8-5073-42E8-8D32-C390BC7A03EE}"/>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390DCB23-BA52-4C88-8ADD-8B710DC2E34C}"/>
    <cellStyle name="Normal 9 2 2 8 2 3" xfId="12898" xr:uid="{8378DB90-8937-4524-AC1C-1FD3CEDE9A65}"/>
    <cellStyle name="Normal 9 2 2 8 3" xfId="6529" xr:uid="{00000000-0005-0000-0000-0000091F0000}"/>
    <cellStyle name="Normal 9 2 2 8 3 2" xfId="14971" xr:uid="{129550B2-3111-449C-9141-DA8A7704A371}"/>
    <cellStyle name="Normal 9 2 2 8 4" xfId="10753" xr:uid="{ABE44814-C5F9-4A68-9FAA-91FEF989F5C3}"/>
    <cellStyle name="Normal 9 2 2 9" xfId="2658" xr:uid="{00000000-0005-0000-0000-00000A1F0000}"/>
    <cellStyle name="Normal 9 2 2 9 2" xfId="6942" xr:uid="{00000000-0005-0000-0000-00000B1F0000}"/>
    <cellStyle name="Normal 9 2 2 9 2 2" xfId="15384" xr:uid="{592D8BD4-3A86-46E6-AFB0-2A8021DAA31B}"/>
    <cellStyle name="Normal 9 2 2 9 3" xfId="11166" xr:uid="{870712A6-0955-471F-A1B2-661FBC20979A}"/>
    <cellStyle name="Normal 9 2 3" xfId="520" xr:uid="{00000000-0005-0000-0000-00000C1F0000}"/>
    <cellStyle name="Normal 9 2 3 10" xfId="9109" xr:uid="{C443AD2B-28F6-4818-9A25-4CD26B3749D3}"/>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CBB8D653-B31E-4673-AE17-2A2CDCD268E4}"/>
    <cellStyle name="Normal 9 2 3 2 2 2 2 3" xfId="11669" xr:uid="{AC63535B-68C1-4342-92D9-A9B223432EDF}"/>
    <cellStyle name="Normal 9 2 3 2 2 2 3" xfId="5300" xr:uid="{00000000-0005-0000-0000-0000121F0000}"/>
    <cellStyle name="Normal 9 2 3 2 2 2 3 2" xfId="13742" xr:uid="{D5903BBC-5535-4549-AEBE-F18897A1BDC9}"/>
    <cellStyle name="Normal 9 2 3 2 2 2 4" xfId="9524" xr:uid="{DB74723D-CA36-4855-8B28-55F588EB7414}"/>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85B213E2-9B9F-4DCC-AD98-28C3E7148627}"/>
    <cellStyle name="Normal 9 2 3 2 2 3 2 3" xfId="12082" xr:uid="{AE36EA5D-2286-4621-8649-8380F93297F8}"/>
    <cellStyle name="Normal 9 2 3 2 2 3 3" xfId="5713" xr:uid="{00000000-0005-0000-0000-0000161F0000}"/>
    <cellStyle name="Normal 9 2 3 2 2 3 3 2" xfId="14155" xr:uid="{70BE938D-48D4-4811-80C2-E801C26D7FAB}"/>
    <cellStyle name="Normal 9 2 3 2 2 3 4" xfId="9937" xr:uid="{5A52F5D8-BD60-44A5-A94A-999ED1844B94}"/>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68076E3B-3DB9-42D8-91E8-45E11EA2064E}"/>
    <cellStyle name="Normal 9 2 3 2 2 4 2 3" xfId="12495" xr:uid="{347651E1-F55B-400F-A959-E84D45A5B27F}"/>
    <cellStyle name="Normal 9 2 3 2 2 4 3" xfId="6126" xr:uid="{00000000-0005-0000-0000-00001A1F0000}"/>
    <cellStyle name="Normal 9 2 3 2 2 4 3 2" xfId="14568" xr:uid="{420DFB18-21EF-40A9-82EE-A43D8D19D6C9}"/>
    <cellStyle name="Normal 9 2 3 2 2 4 4" xfId="10350" xr:uid="{E1C331E7-F756-48E3-98DC-5D000AFC731E}"/>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B294B983-A7FE-4D95-9F72-6B97E23A3CC8}"/>
    <cellStyle name="Normal 9 2 3 2 2 5 2 3" xfId="12908" xr:uid="{175905A5-C6FD-4B73-BD3D-BE3BE6D20C98}"/>
    <cellStyle name="Normal 9 2 3 2 2 5 3" xfId="6539" xr:uid="{00000000-0005-0000-0000-00001E1F0000}"/>
    <cellStyle name="Normal 9 2 3 2 2 5 3 2" xfId="14981" xr:uid="{C1D88037-2BC1-4E3D-909E-F935B46518AA}"/>
    <cellStyle name="Normal 9 2 3 2 2 5 4" xfId="10763" xr:uid="{94A5A7F9-1E79-4220-8CCF-D0E2B2EB540C}"/>
    <cellStyle name="Normal 9 2 3 2 2 6" xfId="2668" xr:uid="{00000000-0005-0000-0000-00001F1F0000}"/>
    <cellStyle name="Normal 9 2 3 2 2 6 2" xfId="6952" xr:uid="{00000000-0005-0000-0000-0000201F0000}"/>
    <cellStyle name="Normal 9 2 3 2 2 6 2 2" xfId="15394" xr:uid="{0D614C0E-4771-4156-89EB-897DDB50F85F}"/>
    <cellStyle name="Normal 9 2 3 2 2 6 3" xfId="11176" xr:uid="{32D51B0C-BD3E-471F-BE11-E98A07CFF4BC}"/>
    <cellStyle name="Normal 9 2 3 2 2 7" xfId="4887" xr:uid="{00000000-0005-0000-0000-0000211F0000}"/>
    <cellStyle name="Normal 9 2 3 2 2 7 2" xfId="13329" xr:uid="{1B424D75-D005-485B-8A58-730C297FDB63}"/>
    <cellStyle name="Normal 9 2 3 2 2 8" xfId="9111" xr:uid="{F68E87D2-570B-4F65-A08E-85326A264440}"/>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CDC6EBC4-2C0C-4E3E-AAD6-8ADB0F4D50E9}"/>
    <cellStyle name="Normal 9 2 3 2 3 2 3" xfId="11668" xr:uid="{8AD0AC0E-EF54-4086-94F6-319AB6A0ED12}"/>
    <cellStyle name="Normal 9 2 3 2 3 3" xfId="5299" xr:uid="{00000000-0005-0000-0000-0000251F0000}"/>
    <cellStyle name="Normal 9 2 3 2 3 3 2" xfId="13741" xr:uid="{9B76E4CF-A7FA-4AB8-A44C-124CEF49BC03}"/>
    <cellStyle name="Normal 9 2 3 2 3 4" xfId="9523" xr:uid="{4D5F83D7-6892-4CFE-BFC1-A8F9DB5BC0A5}"/>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0FC1E213-2EF3-4B47-97CC-8D063B195BA1}"/>
    <cellStyle name="Normal 9 2 3 2 4 2 3" xfId="12081" xr:uid="{AE85FF19-7784-4F70-BE1D-09DB6E78083F}"/>
    <cellStyle name="Normal 9 2 3 2 4 3" xfId="5712" xr:uid="{00000000-0005-0000-0000-0000291F0000}"/>
    <cellStyle name="Normal 9 2 3 2 4 3 2" xfId="14154" xr:uid="{A0C62238-7851-4494-9769-FB21BDE7E4C4}"/>
    <cellStyle name="Normal 9 2 3 2 4 4" xfId="9936" xr:uid="{1241529D-F568-4229-9CEA-0BCC9CF57DF2}"/>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0C8104EB-4BAD-44BA-A165-3A05A6F90D88}"/>
    <cellStyle name="Normal 9 2 3 2 5 2 3" xfId="12494" xr:uid="{A5D46121-E526-430B-8264-7F0597985BE6}"/>
    <cellStyle name="Normal 9 2 3 2 5 3" xfId="6125" xr:uid="{00000000-0005-0000-0000-00002D1F0000}"/>
    <cellStyle name="Normal 9 2 3 2 5 3 2" xfId="14567" xr:uid="{AC569F60-008B-4D5C-8F20-CBB7A667F72C}"/>
    <cellStyle name="Normal 9 2 3 2 5 4" xfId="10349" xr:uid="{B73FF293-2B2D-4EF4-AC1F-9EC16843B824}"/>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A631D446-B05E-4EFC-A81E-8573DDE8FF0C}"/>
    <cellStyle name="Normal 9 2 3 2 6 2 3" xfId="12907" xr:uid="{60F804FF-FEF8-4155-887B-2235BF3934EF}"/>
    <cellStyle name="Normal 9 2 3 2 6 3" xfId="6538" xr:uid="{00000000-0005-0000-0000-0000311F0000}"/>
    <cellStyle name="Normal 9 2 3 2 6 3 2" xfId="14980" xr:uid="{5D9897C6-9605-451C-8882-9921D1F45BE1}"/>
    <cellStyle name="Normal 9 2 3 2 6 4" xfId="10762" xr:uid="{D2819755-457E-4CEE-A5C9-B57955F350A1}"/>
    <cellStyle name="Normal 9 2 3 2 7" xfId="2667" xr:uid="{00000000-0005-0000-0000-0000321F0000}"/>
    <cellStyle name="Normal 9 2 3 2 7 2" xfId="6951" xr:uid="{00000000-0005-0000-0000-0000331F0000}"/>
    <cellStyle name="Normal 9 2 3 2 7 2 2" xfId="15393" xr:uid="{31BEAF4C-66F9-4432-BCDF-76EB7D6C0CA4}"/>
    <cellStyle name="Normal 9 2 3 2 7 3" xfId="11175" xr:uid="{0BCBB2D3-F39B-47BA-9392-D875E5EFE2FE}"/>
    <cellStyle name="Normal 9 2 3 2 8" xfId="4886" xr:uid="{00000000-0005-0000-0000-0000341F0000}"/>
    <cellStyle name="Normal 9 2 3 2 8 2" xfId="13328" xr:uid="{69AC1EEC-984D-4B64-84F9-B95E0831F8FE}"/>
    <cellStyle name="Normal 9 2 3 2 9" xfId="9110" xr:uid="{798E554D-C629-4567-8DD9-6D6D333C0BB9}"/>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75F50802-4C6F-49EE-8111-AF97D0BA6969}"/>
    <cellStyle name="Normal 9 2 3 3 2 2 3" xfId="11670" xr:uid="{F19B39D6-CCAE-401A-8D0D-623DF109B307}"/>
    <cellStyle name="Normal 9 2 3 3 2 3" xfId="5301" xr:uid="{00000000-0005-0000-0000-0000391F0000}"/>
    <cellStyle name="Normal 9 2 3 3 2 3 2" xfId="13743" xr:uid="{07C4E24E-1104-4AB4-B4F8-D7DF4F8504B8}"/>
    <cellStyle name="Normal 9 2 3 3 2 4" xfId="9525" xr:uid="{3E7EEFC4-BB02-4AFE-A4A9-E54445295DBE}"/>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67B038E5-AA0A-49DE-BA92-8CBD70C1596B}"/>
    <cellStyle name="Normal 9 2 3 3 3 2 3" xfId="12083" xr:uid="{A61753DA-237B-4965-9AB3-952D6CF097A7}"/>
    <cellStyle name="Normal 9 2 3 3 3 3" xfId="5714" xr:uid="{00000000-0005-0000-0000-00003D1F0000}"/>
    <cellStyle name="Normal 9 2 3 3 3 3 2" xfId="14156" xr:uid="{26CF7FBB-607A-4987-9412-689A176897BC}"/>
    <cellStyle name="Normal 9 2 3 3 3 4" xfId="9938" xr:uid="{C2514A5F-38FA-4A8A-AAD3-C0A2FEC6771C}"/>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1773F2EC-19DD-4A18-BB04-50FB83E610F2}"/>
    <cellStyle name="Normal 9 2 3 3 4 2 3" xfId="12496" xr:uid="{FA97B2E4-36BD-4A6B-879F-3509D92EAFEE}"/>
    <cellStyle name="Normal 9 2 3 3 4 3" xfId="6127" xr:uid="{00000000-0005-0000-0000-0000411F0000}"/>
    <cellStyle name="Normal 9 2 3 3 4 3 2" xfId="14569" xr:uid="{036F1E98-E78E-4093-8F9E-15B2003FFFAD}"/>
    <cellStyle name="Normal 9 2 3 3 4 4" xfId="10351" xr:uid="{33D790AA-A556-4A54-9596-4741FD4DCFD2}"/>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8DE73480-6E81-4339-8CA1-771689EC90CF}"/>
    <cellStyle name="Normal 9 2 3 3 5 2 3" xfId="12909" xr:uid="{17972748-AE41-4408-A5D8-9A39873F2628}"/>
    <cellStyle name="Normal 9 2 3 3 5 3" xfId="6540" xr:uid="{00000000-0005-0000-0000-0000451F0000}"/>
    <cellStyle name="Normal 9 2 3 3 5 3 2" xfId="14982" xr:uid="{3A8EE441-FFD4-464B-8403-DBB778A8FC86}"/>
    <cellStyle name="Normal 9 2 3 3 5 4" xfId="10764" xr:uid="{6E617374-53DE-4C40-8D61-6A62490A92CA}"/>
    <cellStyle name="Normal 9 2 3 3 6" xfId="2669" xr:uid="{00000000-0005-0000-0000-0000461F0000}"/>
    <cellStyle name="Normal 9 2 3 3 6 2" xfId="6953" xr:uid="{00000000-0005-0000-0000-0000471F0000}"/>
    <cellStyle name="Normal 9 2 3 3 6 2 2" xfId="15395" xr:uid="{84C4C116-75E8-45C7-960D-59B841B0B078}"/>
    <cellStyle name="Normal 9 2 3 3 6 3" xfId="11177" xr:uid="{E5EB8E36-C1C2-4215-804E-AF6F7C9FFDE2}"/>
    <cellStyle name="Normal 9 2 3 3 7" xfId="4888" xr:uid="{00000000-0005-0000-0000-0000481F0000}"/>
    <cellStyle name="Normal 9 2 3 3 7 2" xfId="13330" xr:uid="{ABAAA1E6-8EB6-403B-8C80-085A992ECD72}"/>
    <cellStyle name="Normal 9 2 3 3 8" xfId="9112" xr:uid="{D5F24859-8857-4A25-9E09-803008375A41}"/>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B4332458-B9F4-40DA-A7A5-D961A9ABB9C5}"/>
    <cellStyle name="Normal 9 2 3 4 2 3" xfId="11667" xr:uid="{7596871A-336B-4DB8-80FE-FBF9456A96E6}"/>
    <cellStyle name="Normal 9 2 3 4 3" xfId="5298" xr:uid="{00000000-0005-0000-0000-00004C1F0000}"/>
    <cellStyle name="Normal 9 2 3 4 3 2" xfId="13740" xr:uid="{F06C4CAF-487F-4214-92A9-4FE7BB7E3F46}"/>
    <cellStyle name="Normal 9 2 3 4 4" xfId="9522" xr:uid="{BC2E4E81-924C-4F39-A68A-B3820595A1AC}"/>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0BE89E87-8FEA-40F8-A778-FFD77AACA9D0}"/>
    <cellStyle name="Normal 9 2 3 5 2 3" xfId="12080" xr:uid="{142724B6-1281-4E73-9CE1-FCE6D2811EEE}"/>
    <cellStyle name="Normal 9 2 3 5 3" xfId="5711" xr:uid="{00000000-0005-0000-0000-0000501F0000}"/>
    <cellStyle name="Normal 9 2 3 5 3 2" xfId="14153" xr:uid="{D455A9EE-AB85-4126-8FC2-D90E5252D30D}"/>
    <cellStyle name="Normal 9 2 3 5 4" xfId="9935" xr:uid="{BF6DD0E8-D211-451F-A156-FFA7CD88254D}"/>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E6C84F7B-1057-432A-9491-19F49EDC4DC1}"/>
    <cellStyle name="Normal 9 2 3 6 2 3" xfId="12493" xr:uid="{608D7137-37CD-4813-B8F0-342C7FC5B95C}"/>
    <cellStyle name="Normal 9 2 3 6 3" xfId="6124" xr:uid="{00000000-0005-0000-0000-0000541F0000}"/>
    <cellStyle name="Normal 9 2 3 6 3 2" xfId="14566" xr:uid="{45F39400-336C-4B6F-BCBF-4D713E001D1E}"/>
    <cellStyle name="Normal 9 2 3 6 4" xfId="10348" xr:uid="{9F2890B6-137B-48B1-8A49-3AA3E6EC384F}"/>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D43045AA-C7E8-433D-A384-52547696522F}"/>
    <cellStyle name="Normal 9 2 3 7 2 3" xfId="12906" xr:uid="{BE89B3BE-BD7F-432B-8D26-9DC2E0E26880}"/>
    <cellStyle name="Normal 9 2 3 7 3" xfId="6537" xr:uid="{00000000-0005-0000-0000-0000581F0000}"/>
    <cellStyle name="Normal 9 2 3 7 3 2" xfId="14979" xr:uid="{1CAF1661-99C1-4FD1-A7C9-2D823631C98B}"/>
    <cellStyle name="Normal 9 2 3 7 4" xfId="10761" xr:uid="{15A46F6F-42F6-47B8-A19A-0BC0AF2501F5}"/>
    <cellStyle name="Normal 9 2 3 8" xfId="2666" xr:uid="{00000000-0005-0000-0000-0000591F0000}"/>
    <cellStyle name="Normal 9 2 3 8 2" xfId="6950" xr:uid="{00000000-0005-0000-0000-00005A1F0000}"/>
    <cellStyle name="Normal 9 2 3 8 2 2" xfId="15392" xr:uid="{626242BF-7F25-49BA-8ACB-1900667A5EF4}"/>
    <cellStyle name="Normal 9 2 3 8 3" xfId="11174" xr:uid="{0E6ACDA6-81F8-43A1-B6DB-595C9577DD59}"/>
    <cellStyle name="Normal 9 2 3 9" xfId="4885" xr:uid="{00000000-0005-0000-0000-00005B1F0000}"/>
    <cellStyle name="Normal 9 2 3 9 2" xfId="13327" xr:uid="{171C561C-425C-4FAD-95F0-6811841405D7}"/>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9DE97209-D04F-4529-A677-9058BA1803AE}"/>
    <cellStyle name="Normal 9 2 4 2 2 2 3" xfId="11672" xr:uid="{ADE086C1-481C-4AB3-86A2-7D795D2D7D18}"/>
    <cellStyle name="Normal 9 2 4 2 2 3" xfId="5303" xr:uid="{00000000-0005-0000-0000-0000611F0000}"/>
    <cellStyle name="Normal 9 2 4 2 2 3 2" xfId="13745" xr:uid="{2A92D150-2CD7-4EA4-B353-FEC16C61A2F3}"/>
    <cellStyle name="Normal 9 2 4 2 2 4" xfId="9527" xr:uid="{ECBF656C-796D-4C0C-B623-18E3C331740D}"/>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C6D919A5-F81A-42A8-97ED-7B3E990839D2}"/>
    <cellStyle name="Normal 9 2 4 2 3 2 3" xfId="12085" xr:uid="{C8BD3CF5-AC68-4BB8-930A-083747B3590E}"/>
    <cellStyle name="Normal 9 2 4 2 3 3" xfId="5716" xr:uid="{00000000-0005-0000-0000-0000651F0000}"/>
    <cellStyle name="Normal 9 2 4 2 3 3 2" xfId="14158" xr:uid="{381D7FAF-4AA9-4B64-8741-897806750BF7}"/>
    <cellStyle name="Normal 9 2 4 2 3 4" xfId="9940" xr:uid="{90324510-6C53-4ADD-BB6D-26FF5C653295}"/>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3974AFA1-DC9D-4895-8416-BF64C5975679}"/>
    <cellStyle name="Normal 9 2 4 2 4 2 3" xfId="12498" xr:uid="{5623D2AD-342C-4C7C-AADA-1D18A64EC393}"/>
    <cellStyle name="Normal 9 2 4 2 4 3" xfId="6129" xr:uid="{00000000-0005-0000-0000-0000691F0000}"/>
    <cellStyle name="Normal 9 2 4 2 4 3 2" xfId="14571" xr:uid="{3727C581-9826-4C83-B8BE-740FB5CDAC3B}"/>
    <cellStyle name="Normal 9 2 4 2 4 4" xfId="10353" xr:uid="{4CD81A35-538C-4423-9994-3B5428B557E1}"/>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40C37006-B329-4839-901D-8FB7753054FD}"/>
    <cellStyle name="Normal 9 2 4 2 5 2 3" xfId="12911" xr:uid="{85A135B0-2806-4162-8AA6-D12641FBFA18}"/>
    <cellStyle name="Normal 9 2 4 2 5 3" xfId="6542" xr:uid="{00000000-0005-0000-0000-00006D1F0000}"/>
    <cellStyle name="Normal 9 2 4 2 5 3 2" xfId="14984" xr:uid="{B10116F7-911B-42E9-90F7-D763961072C9}"/>
    <cellStyle name="Normal 9 2 4 2 5 4" xfId="10766" xr:uid="{B353750D-5EC2-4B5D-8F6F-18C6BE9FB6F0}"/>
    <cellStyle name="Normal 9 2 4 2 6" xfId="2671" xr:uid="{00000000-0005-0000-0000-00006E1F0000}"/>
    <cellStyle name="Normal 9 2 4 2 6 2" xfId="6955" xr:uid="{00000000-0005-0000-0000-00006F1F0000}"/>
    <cellStyle name="Normal 9 2 4 2 6 2 2" xfId="15397" xr:uid="{8E26A8C1-BFD8-46E7-80DE-D8596820054D}"/>
    <cellStyle name="Normal 9 2 4 2 6 3" xfId="11179" xr:uid="{EEE0C503-C6E4-49B1-AA57-5DB28DCF708F}"/>
    <cellStyle name="Normal 9 2 4 2 7" xfId="4890" xr:uid="{00000000-0005-0000-0000-0000701F0000}"/>
    <cellStyle name="Normal 9 2 4 2 7 2" xfId="13332" xr:uid="{35666DFA-70EC-466A-9DDA-14A4DF9D51C7}"/>
    <cellStyle name="Normal 9 2 4 2 8" xfId="9114" xr:uid="{F007AE0F-58DB-40B1-9C25-9B2ED9C859C6}"/>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2D4EB63C-D5D8-40FE-B570-83D5A093F119}"/>
    <cellStyle name="Normal 9 2 4 3 2 3" xfId="11671" xr:uid="{055C3264-078D-4F7C-886B-46ECFD3D71E5}"/>
    <cellStyle name="Normal 9 2 4 3 3" xfId="5302" xr:uid="{00000000-0005-0000-0000-0000741F0000}"/>
    <cellStyle name="Normal 9 2 4 3 3 2" xfId="13744" xr:uid="{F1AB189C-CB7F-4C3D-BE62-15D50D5276AC}"/>
    <cellStyle name="Normal 9 2 4 3 4" xfId="9526" xr:uid="{72929D7F-F165-42FE-ACF6-7222CD700485}"/>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9752350B-2096-45FA-890F-3B05AA4202AE}"/>
    <cellStyle name="Normal 9 2 4 4 2 3" xfId="12084" xr:uid="{8964E80E-6A63-4C7D-9415-7A6F2BF103BE}"/>
    <cellStyle name="Normal 9 2 4 4 3" xfId="5715" xr:uid="{00000000-0005-0000-0000-0000781F0000}"/>
    <cellStyle name="Normal 9 2 4 4 3 2" xfId="14157" xr:uid="{3CE068FA-9F42-4389-9DF1-84A33F58C655}"/>
    <cellStyle name="Normal 9 2 4 4 4" xfId="9939" xr:uid="{976D5448-E9B0-4A54-9651-761C91F6E5D4}"/>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F5495F4F-DF93-4BAB-8793-E1A5AC7FCC79}"/>
    <cellStyle name="Normal 9 2 4 5 2 3" xfId="12497" xr:uid="{D82EB53A-26EF-4293-B7A0-B75958198612}"/>
    <cellStyle name="Normal 9 2 4 5 3" xfId="6128" xr:uid="{00000000-0005-0000-0000-00007C1F0000}"/>
    <cellStyle name="Normal 9 2 4 5 3 2" xfId="14570" xr:uid="{1211D83D-0BB8-487B-B75A-BC27E68FF626}"/>
    <cellStyle name="Normal 9 2 4 5 4" xfId="10352" xr:uid="{7F67E536-6678-41A3-A516-4D441B7D86F0}"/>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94324555-6C31-42B0-B0D1-96C606DAFDF3}"/>
    <cellStyle name="Normal 9 2 4 6 2 3" xfId="12910" xr:uid="{88BAF2EA-6CFE-4476-96F6-C06F8361AF62}"/>
    <cellStyle name="Normal 9 2 4 6 3" xfId="6541" xr:uid="{00000000-0005-0000-0000-0000801F0000}"/>
    <cellStyle name="Normal 9 2 4 6 3 2" xfId="14983" xr:uid="{64FAB69D-0F6B-43E0-9CFF-446470E402DC}"/>
    <cellStyle name="Normal 9 2 4 6 4" xfId="10765" xr:uid="{452184D4-3973-47A6-9F15-784FD7A207E8}"/>
    <cellStyle name="Normal 9 2 4 7" xfId="2670" xr:uid="{00000000-0005-0000-0000-0000811F0000}"/>
    <cellStyle name="Normal 9 2 4 7 2" xfId="6954" xr:uid="{00000000-0005-0000-0000-0000821F0000}"/>
    <cellStyle name="Normal 9 2 4 7 2 2" xfId="15396" xr:uid="{0B896CB3-384E-42E0-983E-E62113B3017D}"/>
    <cellStyle name="Normal 9 2 4 7 3" xfId="11178" xr:uid="{3D4ECCD9-F829-439E-9727-38FD75208018}"/>
    <cellStyle name="Normal 9 2 4 8" xfId="4889" xr:uid="{00000000-0005-0000-0000-0000831F0000}"/>
    <cellStyle name="Normal 9 2 4 8 2" xfId="13331" xr:uid="{B0631F04-BEE1-41C1-80F0-2A0938C89140}"/>
    <cellStyle name="Normal 9 2 4 9" xfId="9113" xr:uid="{D8F6A1A7-6EF8-4E12-BBDA-5F87E2B54637}"/>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084AD6F8-A67C-4E72-AE0D-AE59B1D65D7A}"/>
    <cellStyle name="Normal 9 2 5 2 2 3" xfId="11673" xr:uid="{A3BBD186-F47D-45CD-B5CB-876144DC1936}"/>
    <cellStyle name="Normal 9 2 5 2 3" xfId="5304" xr:uid="{00000000-0005-0000-0000-0000881F0000}"/>
    <cellStyle name="Normal 9 2 5 2 3 2" xfId="13746" xr:uid="{28B1AD35-B511-40E2-81A6-3757F5424022}"/>
    <cellStyle name="Normal 9 2 5 2 4" xfId="9528" xr:uid="{D331EB45-2490-4063-A61D-54E92E8348BB}"/>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78726417-7F5F-4E77-8D1A-C54C59EAF597}"/>
    <cellStyle name="Normal 9 2 5 3 2 3" xfId="12086" xr:uid="{7AA55F33-BA43-4B8B-A398-5F36881F0A05}"/>
    <cellStyle name="Normal 9 2 5 3 3" xfId="5717" xr:uid="{00000000-0005-0000-0000-00008C1F0000}"/>
    <cellStyle name="Normal 9 2 5 3 3 2" xfId="14159" xr:uid="{A199D95C-1655-471F-919E-0D9599E6B23D}"/>
    <cellStyle name="Normal 9 2 5 3 4" xfId="9941" xr:uid="{B4941FDE-F7D4-40DB-88A9-8D24B46E4A97}"/>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CF2CE06F-8624-4111-A955-50CC188F9473}"/>
    <cellStyle name="Normal 9 2 5 4 2 3" xfId="12499" xr:uid="{EB0D73D7-61D2-40FB-8B89-8290046DEDC7}"/>
    <cellStyle name="Normal 9 2 5 4 3" xfId="6130" xr:uid="{00000000-0005-0000-0000-0000901F0000}"/>
    <cellStyle name="Normal 9 2 5 4 3 2" xfId="14572" xr:uid="{BBF3445D-160A-4D86-912F-B34A736B3730}"/>
    <cellStyle name="Normal 9 2 5 4 4" xfId="10354" xr:uid="{401D45C3-4DC6-49E8-8576-110B9E57737A}"/>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A818D259-2D47-46E3-9B18-06F2549E7494}"/>
    <cellStyle name="Normal 9 2 5 5 2 3" xfId="12912" xr:uid="{76D997D2-A0A2-4DA2-8D74-3FC51DD2C1C0}"/>
    <cellStyle name="Normal 9 2 5 5 3" xfId="6543" xr:uid="{00000000-0005-0000-0000-0000941F0000}"/>
    <cellStyle name="Normal 9 2 5 5 3 2" xfId="14985" xr:uid="{B4838432-1A8E-4D29-9C25-0310CA2BC001}"/>
    <cellStyle name="Normal 9 2 5 5 4" xfId="10767" xr:uid="{EAB216DE-4EFA-4AC4-B90A-A4BCD460AD09}"/>
    <cellStyle name="Normal 9 2 5 6" xfId="2672" xr:uid="{00000000-0005-0000-0000-0000951F0000}"/>
    <cellStyle name="Normal 9 2 5 6 2" xfId="6956" xr:uid="{00000000-0005-0000-0000-0000961F0000}"/>
    <cellStyle name="Normal 9 2 5 6 2 2" xfId="15398" xr:uid="{449FEEC2-F44E-4FFF-9E6A-E556EB1D49DE}"/>
    <cellStyle name="Normal 9 2 5 6 3" xfId="11180" xr:uid="{291235C7-83B3-46A9-923B-1A1FA9C279CF}"/>
    <cellStyle name="Normal 9 2 5 7" xfId="4891" xr:uid="{00000000-0005-0000-0000-0000971F0000}"/>
    <cellStyle name="Normal 9 2 5 7 2" xfId="13333" xr:uid="{9010DAD7-F236-4274-A24A-8823ED0D418F}"/>
    <cellStyle name="Normal 9 2 5 8" xfId="9115" xr:uid="{EDB6BD7C-A502-4BF1-8D1D-DDD3D469CD37}"/>
    <cellStyle name="Normal 9 2 6" xfId="978" xr:uid="{00000000-0005-0000-0000-0000981F0000}"/>
    <cellStyle name="Normal 9 2 6 2" xfId="3211" xr:uid="{00000000-0005-0000-0000-0000991F0000}"/>
    <cellStyle name="Normal 9 2 6 2 2" xfId="7434" xr:uid="{00000000-0005-0000-0000-00009A1F0000}"/>
    <cellStyle name="Normal 9 2 6 2 2 2" xfId="15876" xr:uid="{2E751F6D-F458-4B93-AB1E-9904C9CD3F9B}"/>
    <cellStyle name="Normal 9 2 6 2 3" xfId="11658" xr:uid="{938A6706-5771-4553-B639-97B5B487745F}"/>
    <cellStyle name="Normal 9 2 6 3" xfId="5289" xr:uid="{00000000-0005-0000-0000-00009B1F0000}"/>
    <cellStyle name="Normal 9 2 6 3 2" xfId="13731" xr:uid="{D4044D3C-F67A-46E8-AAE4-81859C586EFF}"/>
    <cellStyle name="Normal 9 2 6 4" xfId="9513" xr:uid="{08D2C3B8-6A05-4764-B90C-8294FC2CAE84}"/>
    <cellStyle name="Normal 9 2 7" xfId="1394" xr:uid="{00000000-0005-0000-0000-00009C1F0000}"/>
    <cellStyle name="Normal 9 2 7 2" xfId="3624" xr:uid="{00000000-0005-0000-0000-00009D1F0000}"/>
    <cellStyle name="Normal 9 2 7 2 2" xfId="7847" xr:uid="{00000000-0005-0000-0000-00009E1F0000}"/>
    <cellStyle name="Normal 9 2 7 2 2 2" xfId="16289" xr:uid="{95ACEC04-9307-4ECB-9B4E-EE7C96829790}"/>
    <cellStyle name="Normal 9 2 7 2 3" xfId="12071" xr:uid="{DACFDCAB-AFAA-4CA6-813A-2DDF4BFC475F}"/>
    <cellStyle name="Normal 9 2 7 3" xfId="5702" xr:uid="{00000000-0005-0000-0000-00009F1F0000}"/>
    <cellStyle name="Normal 9 2 7 3 2" xfId="14144" xr:uid="{4D963913-A0D6-4C55-9878-637C10B4B066}"/>
    <cellStyle name="Normal 9 2 7 4" xfId="9926" xr:uid="{D913A8B3-1402-4B62-9F3D-C36E60A99AC2}"/>
    <cellStyle name="Normal 9 2 8" xfId="1807" xr:uid="{00000000-0005-0000-0000-0000A01F0000}"/>
    <cellStyle name="Normal 9 2 8 2" xfId="4037" xr:uid="{00000000-0005-0000-0000-0000A11F0000}"/>
    <cellStyle name="Normal 9 2 8 2 2" xfId="8260" xr:uid="{00000000-0005-0000-0000-0000A21F0000}"/>
    <cellStyle name="Normal 9 2 8 2 2 2" xfId="16702" xr:uid="{E5EC8E31-A1EE-4510-9370-6A693F2ECD49}"/>
    <cellStyle name="Normal 9 2 8 2 3" xfId="12484" xr:uid="{4B6AB9B6-2F72-4C67-ADF1-5E7E289E93A8}"/>
    <cellStyle name="Normal 9 2 8 3" xfId="6115" xr:uid="{00000000-0005-0000-0000-0000A31F0000}"/>
    <cellStyle name="Normal 9 2 8 3 2" xfId="14557" xr:uid="{5ECA1135-EA89-4E3D-B002-6D850987652F}"/>
    <cellStyle name="Normal 9 2 8 4" xfId="10339" xr:uid="{ADD84B0B-7C1E-44A5-B319-939D1F8C121A}"/>
    <cellStyle name="Normal 9 2 9" xfId="2221" xr:uid="{00000000-0005-0000-0000-0000A41F0000}"/>
    <cellStyle name="Normal 9 2 9 2" xfId="4450" xr:uid="{00000000-0005-0000-0000-0000A51F0000}"/>
    <cellStyle name="Normal 9 2 9 2 2" xfId="8673" xr:uid="{00000000-0005-0000-0000-0000A61F0000}"/>
    <cellStyle name="Normal 9 2 9 2 2 2" xfId="17115" xr:uid="{2ADD140A-3919-48C0-A45F-CEFE48443996}"/>
    <cellStyle name="Normal 9 2 9 2 3" xfId="12897" xr:uid="{DF95C6E8-D1A4-4807-8854-7420331BF8A6}"/>
    <cellStyle name="Normal 9 2 9 3" xfId="6528" xr:uid="{00000000-0005-0000-0000-0000A71F0000}"/>
    <cellStyle name="Normal 9 2 9 3 2" xfId="14970" xr:uid="{9B83F483-EB03-4052-9F6D-1AAC00E55AA6}"/>
    <cellStyle name="Normal 9 2 9 4" xfId="10752" xr:uid="{272AAEFA-8464-4FC7-B3DC-7BA693A22482}"/>
    <cellStyle name="Normal 9 3" xfId="527" xr:uid="{00000000-0005-0000-0000-0000A81F0000}"/>
    <cellStyle name="Normal 9 3 10" xfId="4892" xr:uid="{00000000-0005-0000-0000-0000A91F0000}"/>
    <cellStyle name="Normal 9 3 10 2" xfId="13334" xr:uid="{818D4946-3FD3-4E2C-99E8-2AF603D867DE}"/>
    <cellStyle name="Normal 9 3 11" xfId="9116" xr:uid="{BAA1A60B-9F91-4473-ADAF-DE52D99CB18D}"/>
    <cellStyle name="Normal 9 3 2" xfId="528" xr:uid="{00000000-0005-0000-0000-0000AA1F0000}"/>
    <cellStyle name="Normal 9 3 2 10" xfId="9117" xr:uid="{F05FD520-6403-4A2A-A1E3-97345243626A}"/>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2A53F34B-6E51-474F-8E36-8517A6307AAD}"/>
    <cellStyle name="Normal 9 3 2 2 2 2 2 3" xfId="11677" xr:uid="{E92D3EC2-5F44-4E9A-876B-EE74A09614F3}"/>
    <cellStyle name="Normal 9 3 2 2 2 2 3" xfId="5308" xr:uid="{00000000-0005-0000-0000-0000B01F0000}"/>
    <cellStyle name="Normal 9 3 2 2 2 2 3 2" xfId="13750" xr:uid="{133814AB-6CE6-4763-8CBB-21EAA6D97D53}"/>
    <cellStyle name="Normal 9 3 2 2 2 2 4" xfId="9532" xr:uid="{683D5B4E-7A6D-498F-99EE-3B8CE46012A2}"/>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B5C124F0-41D8-4622-B045-7F5EC9E935DA}"/>
    <cellStyle name="Normal 9 3 2 2 2 3 2 3" xfId="12090" xr:uid="{4B3E11DA-0BE1-4A40-A4D2-D248D653266B}"/>
    <cellStyle name="Normal 9 3 2 2 2 3 3" xfId="5721" xr:uid="{00000000-0005-0000-0000-0000B41F0000}"/>
    <cellStyle name="Normal 9 3 2 2 2 3 3 2" xfId="14163" xr:uid="{B64F9E4F-3514-4C05-91D7-2D5C221D7734}"/>
    <cellStyle name="Normal 9 3 2 2 2 3 4" xfId="9945" xr:uid="{86E7EE66-861A-4C4B-BDEA-C67EB90BE48B}"/>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DB1E90CA-06DE-497E-8087-5013E994152D}"/>
    <cellStyle name="Normal 9 3 2 2 2 4 2 3" xfId="12503" xr:uid="{A0B16FF7-9A89-4EC3-95F6-0AC79EFC9305}"/>
    <cellStyle name="Normal 9 3 2 2 2 4 3" xfId="6134" xr:uid="{00000000-0005-0000-0000-0000B81F0000}"/>
    <cellStyle name="Normal 9 3 2 2 2 4 3 2" xfId="14576" xr:uid="{501A60A1-4F40-40E3-AC3F-79E0FBF0EF39}"/>
    <cellStyle name="Normal 9 3 2 2 2 4 4" xfId="10358" xr:uid="{554BB450-C05F-4B06-BAC1-B42A60BC8F48}"/>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B990E3FF-CE8D-4BBD-AC40-866A151971EE}"/>
    <cellStyle name="Normal 9 3 2 2 2 5 2 3" xfId="12916" xr:uid="{FE5122A2-6AFC-4EB9-9273-BCD93DCE8238}"/>
    <cellStyle name="Normal 9 3 2 2 2 5 3" xfId="6547" xr:uid="{00000000-0005-0000-0000-0000BC1F0000}"/>
    <cellStyle name="Normal 9 3 2 2 2 5 3 2" xfId="14989" xr:uid="{35E382F6-8106-45B3-ABC1-432D5167CCB2}"/>
    <cellStyle name="Normal 9 3 2 2 2 5 4" xfId="10771" xr:uid="{6BD2758E-C00D-457B-BED9-5A743E26CCD8}"/>
    <cellStyle name="Normal 9 3 2 2 2 6" xfId="2676" xr:uid="{00000000-0005-0000-0000-0000BD1F0000}"/>
    <cellStyle name="Normal 9 3 2 2 2 6 2" xfId="6960" xr:uid="{00000000-0005-0000-0000-0000BE1F0000}"/>
    <cellStyle name="Normal 9 3 2 2 2 6 2 2" xfId="15402" xr:uid="{D5EE15C4-0ADE-485C-9E60-FCF8E5AD4123}"/>
    <cellStyle name="Normal 9 3 2 2 2 6 3" xfId="11184" xr:uid="{C1F4A514-7DF0-4D6D-821C-3B434F702CD9}"/>
    <cellStyle name="Normal 9 3 2 2 2 7" xfId="4895" xr:uid="{00000000-0005-0000-0000-0000BF1F0000}"/>
    <cellStyle name="Normal 9 3 2 2 2 7 2" xfId="13337" xr:uid="{A51C4017-70D2-48BA-8A26-828FE8F0E318}"/>
    <cellStyle name="Normal 9 3 2 2 2 8" xfId="9119" xr:uid="{3A49D0B4-42FE-4E27-9A73-C6648FDD61B1}"/>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9A3BD78C-0A91-4A05-9B69-C17CB5254F96}"/>
    <cellStyle name="Normal 9 3 2 2 3 2 3" xfId="11676" xr:uid="{796D12EB-A200-48E3-AB58-D49431F2A17F}"/>
    <cellStyle name="Normal 9 3 2 2 3 3" xfId="5307" xr:uid="{00000000-0005-0000-0000-0000C31F0000}"/>
    <cellStyle name="Normal 9 3 2 2 3 3 2" xfId="13749" xr:uid="{3BC2C154-E66D-4565-83D6-4A71EB7AF4E3}"/>
    <cellStyle name="Normal 9 3 2 2 3 4" xfId="9531" xr:uid="{864261AF-A500-44F6-9A17-A42318F58408}"/>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776C65BC-E8AB-47F8-969C-F83085E1A43A}"/>
    <cellStyle name="Normal 9 3 2 2 4 2 3" xfId="12089" xr:uid="{F23F5547-2C89-4A50-A67C-EFC63EA44EF6}"/>
    <cellStyle name="Normal 9 3 2 2 4 3" xfId="5720" xr:uid="{00000000-0005-0000-0000-0000C71F0000}"/>
    <cellStyle name="Normal 9 3 2 2 4 3 2" xfId="14162" xr:uid="{53CFF868-4476-4D62-A933-5D7D8DBE7CFF}"/>
    <cellStyle name="Normal 9 3 2 2 4 4" xfId="9944" xr:uid="{97CD7D65-5120-477B-B549-7CC0DB9DC3C5}"/>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299D1F21-AB2E-427B-BE71-D91FF092FB23}"/>
    <cellStyle name="Normal 9 3 2 2 5 2 3" xfId="12502" xr:uid="{37817199-A0A8-4A95-BE70-5A58A2CDE7B6}"/>
    <cellStyle name="Normal 9 3 2 2 5 3" xfId="6133" xr:uid="{00000000-0005-0000-0000-0000CB1F0000}"/>
    <cellStyle name="Normal 9 3 2 2 5 3 2" xfId="14575" xr:uid="{6E1CD59A-EAA0-4CE7-8325-8533D6A08B32}"/>
    <cellStyle name="Normal 9 3 2 2 5 4" xfId="10357" xr:uid="{D93DAF7A-D5EA-439D-BEDC-90D061931480}"/>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5A8ECD71-51F4-47DC-9C70-4424F1940FC6}"/>
    <cellStyle name="Normal 9 3 2 2 6 2 3" xfId="12915" xr:uid="{4270427B-41DD-4E60-BFBD-C782092E60B9}"/>
    <cellStyle name="Normal 9 3 2 2 6 3" xfId="6546" xr:uid="{00000000-0005-0000-0000-0000CF1F0000}"/>
    <cellStyle name="Normal 9 3 2 2 6 3 2" xfId="14988" xr:uid="{67F74BBA-398A-444A-A159-B90CE9407B13}"/>
    <cellStyle name="Normal 9 3 2 2 6 4" xfId="10770" xr:uid="{FCDEC0C4-71CB-4033-8994-6A7BC9ECE9E7}"/>
    <cellStyle name="Normal 9 3 2 2 7" xfId="2675" xr:uid="{00000000-0005-0000-0000-0000D01F0000}"/>
    <cellStyle name="Normal 9 3 2 2 7 2" xfId="6959" xr:uid="{00000000-0005-0000-0000-0000D11F0000}"/>
    <cellStyle name="Normal 9 3 2 2 7 2 2" xfId="15401" xr:uid="{D9395B94-E7C7-467A-8197-C73829DCBD51}"/>
    <cellStyle name="Normal 9 3 2 2 7 3" xfId="11183" xr:uid="{30D20936-9895-49AC-9035-E0774505FEC8}"/>
    <cellStyle name="Normal 9 3 2 2 8" xfId="4894" xr:uid="{00000000-0005-0000-0000-0000D21F0000}"/>
    <cellStyle name="Normal 9 3 2 2 8 2" xfId="13336" xr:uid="{5C5057E5-2C37-48E1-9997-484F35381568}"/>
    <cellStyle name="Normal 9 3 2 2 9" xfId="9118" xr:uid="{E1AA0D61-C1A6-44E8-A350-2D03C3B5703E}"/>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543E1CEA-907E-4DE9-9361-BEE2825875F1}"/>
    <cellStyle name="Normal 9 3 2 3 2 2 3" xfId="11678" xr:uid="{6279BBCC-B2FA-49D8-8DEE-747D419426FC}"/>
    <cellStyle name="Normal 9 3 2 3 2 3" xfId="5309" xr:uid="{00000000-0005-0000-0000-0000D71F0000}"/>
    <cellStyle name="Normal 9 3 2 3 2 3 2" xfId="13751" xr:uid="{D90DA832-C5AD-4996-827C-B9F00B1E1C3F}"/>
    <cellStyle name="Normal 9 3 2 3 2 4" xfId="9533" xr:uid="{1CFC4F0C-9A9B-42A3-9EC4-B177713CC409}"/>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BC79C59C-9BF6-41D7-9D13-792EA8D02421}"/>
    <cellStyle name="Normal 9 3 2 3 3 2 3" xfId="12091" xr:uid="{2F0F1C26-5FE7-4D90-88A2-F7300DDD2D38}"/>
    <cellStyle name="Normal 9 3 2 3 3 3" xfId="5722" xr:uid="{00000000-0005-0000-0000-0000DB1F0000}"/>
    <cellStyle name="Normal 9 3 2 3 3 3 2" xfId="14164" xr:uid="{2278C560-59D3-40AF-B19B-1625E02E68AB}"/>
    <cellStyle name="Normal 9 3 2 3 3 4" xfId="9946" xr:uid="{924A951F-2686-4429-BEFA-7E65B964FEB2}"/>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E13AF42A-4BC0-4933-82BD-A987FF2519C5}"/>
    <cellStyle name="Normal 9 3 2 3 4 2 3" xfId="12504" xr:uid="{E34FFAC0-7B17-4BB8-AFB5-AD9CA47508F8}"/>
    <cellStyle name="Normal 9 3 2 3 4 3" xfId="6135" xr:uid="{00000000-0005-0000-0000-0000DF1F0000}"/>
    <cellStyle name="Normal 9 3 2 3 4 3 2" xfId="14577" xr:uid="{251EB38F-C120-41FD-930B-E1FF2669D9A9}"/>
    <cellStyle name="Normal 9 3 2 3 4 4" xfId="10359" xr:uid="{CE7C66F5-35D8-4319-9219-297E7550DE9C}"/>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A8B2AC9E-7624-41F5-B1B6-92D9C08113A3}"/>
    <cellStyle name="Normal 9 3 2 3 5 2 3" xfId="12917" xr:uid="{B4B8E505-E0EA-4DEF-861B-F380140851AB}"/>
    <cellStyle name="Normal 9 3 2 3 5 3" xfId="6548" xr:uid="{00000000-0005-0000-0000-0000E31F0000}"/>
    <cellStyle name="Normal 9 3 2 3 5 3 2" xfId="14990" xr:uid="{631D6A59-5C89-42B3-A281-5A5E74DD61DB}"/>
    <cellStyle name="Normal 9 3 2 3 5 4" xfId="10772" xr:uid="{BD25BDA5-A4A4-4CFF-BC9E-B91224A203AB}"/>
    <cellStyle name="Normal 9 3 2 3 6" xfId="2677" xr:uid="{00000000-0005-0000-0000-0000E41F0000}"/>
    <cellStyle name="Normal 9 3 2 3 6 2" xfId="6961" xr:uid="{00000000-0005-0000-0000-0000E51F0000}"/>
    <cellStyle name="Normal 9 3 2 3 6 2 2" xfId="15403" xr:uid="{3F1B62B0-9957-4DF5-8A96-FA459D231FED}"/>
    <cellStyle name="Normal 9 3 2 3 6 3" xfId="11185" xr:uid="{9D9F62BE-B35D-4826-88F6-3B734A82BB2F}"/>
    <cellStyle name="Normal 9 3 2 3 7" xfId="4896" xr:uid="{00000000-0005-0000-0000-0000E61F0000}"/>
    <cellStyle name="Normal 9 3 2 3 7 2" xfId="13338" xr:uid="{A0DFA788-9087-4275-9012-715E8881135A}"/>
    <cellStyle name="Normal 9 3 2 3 8" xfId="9120" xr:uid="{9ABAB763-7720-47C6-9106-1D398920D33A}"/>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A6CF4985-7643-4978-95A8-974D5A98C443}"/>
    <cellStyle name="Normal 9 3 2 4 2 3" xfId="11675" xr:uid="{47ADA59B-E97C-4D4F-8032-7563E70CBEB2}"/>
    <cellStyle name="Normal 9 3 2 4 3" xfId="5306" xr:uid="{00000000-0005-0000-0000-0000EA1F0000}"/>
    <cellStyle name="Normal 9 3 2 4 3 2" xfId="13748" xr:uid="{D413376F-5A9A-47DC-AA1B-4A0DE87888FC}"/>
    <cellStyle name="Normal 9 3 2 4 4" xfId="9530" xr:uid="{61DFFD4B-EA3C-408B-8B58-0E006C6961BE}"/>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30B9481D-07EE-41CB-8581-F54FB5176E00}"/>
    <cellStyle name="Normal 9 3 2 5 2 3" xfId="12088" xr:uid="{3246FFB1-6074-4A47-BC10-7108DBBE01EB}"/>
    <cellStyle name="Normal 9 3 2 5 3" xfId="5719" xr:uid="{00000000-0005-0000-0000-0000EE1F0000}"/>
    <cellStyle name="Normal 9 3 2 5 3 2" xfId="14161" xr:uid="{A8693B58-4076-4BC8-83EB-F2393117C843}"/>
    <cellStyle name="Normal 9 3 2 5 4" xfId="9943" xr:uid="{E1456E55-AA59-4F32-ACBF-50D2E1756D83}"/>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1FADB193-1205-45CA-B209-2395EF6B1186}"/>
    <cellStyle name="Normal 9 3 2 6 2 3" xfId="12501" xr:uid="{2E159EB5-A35C-47AA-8816-D799410FF962}"/>
    <cellStyle name="Normal 9 3 2 6 3" xfId="6132" xr:uid="{00000000-0005-0000-0000-0000F21F0000}"/>
    <cellStyle name="Normal 9 3 2 6 3 2" xfId="14574" xr:uid="{26546C46-EBD7-4D85-86E6-51BA131CC715}"/>
    <cellStyle name="Normal 9 3 2 6 4" xfId="10356" xr:uid="{BFB5B5E0-E1DC-47DC-9AF4-57B9F1A0E9C8}"/>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BB3F3AE7-4995-46BB-B60A-621292CF31AC}"/>
    <cellStyle name="Normal 9 3 2 7 2 3" xfId="12914" xr:uid="{22C05F81-439F-439C-AD4C-3103BB8C9E1E}"/>
    <cellStyle name="Normal 9 3 2 7 3" xfId="6545" xr:uid="{00000000-0005-0000-0000-0000F61F0000}"/>
    <cellStyle name="Normal 9 3 2 7 3 2" xfId="14987" xr:uid="{C9485A6A-379D-4FAA-BD71-2143FA828D23}"/>
    <cellStyle name="Normal 9 3 2 7 4" xfId="10769" xr:uid="{662D64BB-1E1C-4CC3-BEC4-7033E04AF583}"/>
    <cellStyle name="Normal 9 3 2 8" xfId="2674" xr:uid="{00000000-0005-0000-0000-0000F71F0000}"/>
    <cellStyle name="Normal 9 3 2 8 2" xfId="6958" xr:uid="{00000000-0005-0000-0000-0000F81F0000}"/>
    <cellStyle name="Normal 9 3 2 8 2 2" xfId="15400" xr:uid="{C60D89FD-E8CA-45C3-9CB7-47E8C29C1BFE}"/>
    <cellStyle name="Normal 9 3 2 8 3" xfId="11182" xr:uid="{9C7897C7-9530-4919-A891-4E9CAC6670A9}"/>
    <cellStyle name="Normal 9 3 2 9" xfId="4893" xr:uid="{00000000-0005-0000-0000-0000F91F0000}"/>
    <cellStyle name="Normal 9 3 2 9 2" xfId="13335" xr:uid="{61A986F9-534F-4433-A6C6-23E1AC48F833}"/>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AD5D330F-DF77-433C-85BB-23534DCDB24F}"/>
    <cellStyle name="Normal 9 3 3 2 2 2 3" xfId="11680" xr:uid="{38E22DC0-FE41-4B0B-8A58-3C571F6A9B73}"/>
    <cellStyle name="Normal 9 3 3 2 2 3" xfId="5311" xr:uid="{00000000-0005-0000-0000-0000FF1F0000}"/>
    <cellStyle name="Normal 9 3 3 2 2 3 2" xfId="13753" xr:uid="{C9D272DD-B6BE-4ABE-9A02-0EE49014633D}"/>
    <cellStyle name="Normal 9 3 3 2 2 4" xfId="9535" xr:uid="{2E4260D7-1315-49B2-BB16-32B1D577384E}"/>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26D57D4A-4A5E-4DD1-B2EF-B4265A8095EB}"/>
    <cellStyle name="Normal 9 3 3 2 3 2 3" xfId="12093" xr:uid="{C425895F-FECC-46B0-93D6-FF8288C10C56}"/>
    <cellStyle name="Normal 9 3 3 2 3 3" xfId="5724" xr:uid="{00000000-0005-0000-0000-000003200000}"/>
    <cellStyle name="Normal 9 3 3 2 3 3 2" xfId="14166" xr:uid="{283A68CD-8127-4C27-AEDE-B5A71F6E0DF4}"/>
    <cellStyle name="Normal 9 3 3 2 3 4" xfId="9948" xr:uid="{F0A20BCF-9DBF-4FF7-B573-591A0001CAF2}"/>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E31FB98A-5385-4EEA-A00B-3396E4BA63ED}"/>
    <cellStyle name="Normal 9 3 3 2 4 2 3" xfId="12506" xr:uid="{CABBBA5B-EC07-4AB8-834A-30B8EAF46C11}"/>
    <cellStyle name="Normal 9 3 3 2 4 3" xfId="6137" xr:uid="{00000000-0005-0000-0000-000007200000}"/>
    <cellStyle name="Normal 9 3 3 2 4 3 2" xfId="14579" xr:uid="{3183C7E8-5182-4032-B8A2-44852B8B1ADE}"/>
    <cellStyle name="Normal 9 3 3 2 4 4" xfId="10361" xr:uid="{033E12F0-2066-41AB-887D-C790DFF7D31E}"/>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7C6B888E-5311-4712-8A68-A1493C43DEB4}"/>
    <cellStyle name="Normal 9 3 3 2 5 2 3" xfId="12919" xr:uid="{7B6104B9-5C4F-469C-AE64-0E9B2ED487DA}"/>
    <cellStyle name="Normal 9 3 3 2 5 3" xfId="6550" xr:uid="{00000000-0005-0000-0000-00000B200000}"/>
    <cellStyle name="Normal 9 3 3 2 5 3 2" xfId="14992" xr:uid="{649DEE68-CB4E-40D6-BD4B-F53C0C3A0BE6}"/>
    <cellStyle name="Normal 9 3 3 2 5 4" xfId="10774" xr:uid="{584D95E1-A6C1-4459-A25C-705E2E613F46}"/>
    <cellStyle name="Normal 9 3 3 2 6" xfId="2679" xr:uid="{00000000-0005-0000-0000-00000C200000}"/>
    <cellStyle name="Normal 9 3 3 2 6 2" xfId="6963" xr:uid="{00000000-0005-0000-0000-00000D200000}"/>
    <cellStyle name="Normal 9 3 3 2 6 2 2" xfId="15405" xr:uid="{114D003C-3DB9-4C95-9E07-A8A1B6BE6756}"/>
    <cellStyle name="Normal 9 3 3 2 6 3" xfId="11187" xr:uid="{978EDB9C-D6A4-4E72-B546-B1BD9C02498D}"/>
    <cellStyle name="Normal 9 3 3 2 7" xfId="4898" xr:uid="{00000000-0005-0000-0000-00000E200000}"/>
    <cellStyle name="Normal 9 3 3 2 7 2" xfId="13340" xr:uid="{6B5BDD2E-E42C-4890-8550-27E055DCF5AE}"/>
    <cellStyle name="Normal 9 3 3 2 8" xfId="9122" xr:uid="{5E569A12-5602-48B1-AC24-59A796819974}"/>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C74AA52E-0172-42B7-B364-C05BC4CBE71D}"/>
    <cellStyle name="Normal 9 3 3 3 2 3" xfId="11679" xr:uid="{5C54A52C-A07C-4871-97E4-AD3E9CECE15B}"/>
    <cellStyle name="Normal 9 3 3 3 3" xfId="5310" xr:uid="{00000000-0005-0000-0000-000012200000}"/>
    <cellStyle name="Normal 9 3 3 3 3 2" xfId="13752" xr:uid="{313B7D1D-98E8-4687-B813-BB519A294F66}"/>
    <cellStyle name="Normal 9 3 3 3 4" xfId="9534" xr:uid="{2D7994BF-2870-4FEC-924C-56763B40FB81}"/>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A6AE8B4A-49C4-4129-86EA-3A5021825FDB}"/>
    <cellStyle name="Normal 9 3 3 4 2 3" xfId="12092" xr:uid="{353FA0AA-843F-4A9C-93C0-A759CB1B86B5}"/>
    <cellStyle name="Normal 9 3 3 4 3" xfId="5723" xr:uid="{00000000-0005-0000-0000-000016200000}"/>
    <cellStyle name="Normal 9 3 3 4 3 2" xfId="14165" xr:uid="{926FC939-460C-4D4E-90F3-4734F09FC44F}"/>
    <cellStyle name="Normal 9 3 3 4 4" xfId="9947" xr:uid="{CC32A109-484D-48EA-A1BA-46F9204AA53B}"/>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0ADC3A49-800C-49D7-872C-5FC983748B4F}"/>
    <cellStyle name="Normal 9 3 3 5 2 3" xfId="12505" xr:uid="{5BF4B72C-D58A-4BDD-80C5-A2E9909BFD33}"/>
    <cellStyle name="Normal 9 3 3 5 3" xfId="6136" xr:uid="{00000000-0005-0000-0000-00001A200000}"/>
    <cellStyle name="Normal 9 3 3 5 3 2" xfId="14578" xr:uid="{7F6911A9-993D-42E4-902B-989BE844585E}"/>
    <cellStyle name="Normal 9 3 3 5 4" xfId="10360" xr:uid="{32F9D757-9D82-4B34-817F-7F4953A9364F}"/>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185B3492-640A-4011-AB50-69FE0E7D7813}"/>
    <cellStyle name="Normal 9 3 3 6 2 3" xfId="12918" xr:uid="{0192ADC1-70CF-4C71-9595-FC274A7351FA}"/>
    <cellStyle name="Normal 9 3 3 6 3" xfId="6549" xr:uid="{00000000-0005-0000-0000-00001E200000}"/>
    <cellStyle name="Normal 9 3 3 6 3 2" xfId="14991" xr:uid="{2814C845-B299-4F56-A48C-2D46ADDD47D4}"/>
    <cellStyle name="Normal 9 3 3 6 4" xfId="10773" xr:uid="{8505B859-B6E8-4EEE-BDBD-7635B8DD1132}"/>
    <cellStyle name="Normal 9 3 3 7" xfId="2678" xr:uid="{00000000-0005-0000-0000-00001F200000}"/>
    <cellStyle name="Normal 9 3 3 7 2" xfId="6962" xr:uid="{00000000-0005-0000-0000-000020200000}"/>
    <cellStyle name="Normal 9 3 3 7 2 2" xfId="15404" xr:uid="{091C0AE9-6BF4-4E1C-9ACD-E0F8C1DDB525}"/>
    <cellStyle name="Normal 9 3 3 7 3" xfId="11186" xr:uid="{E20FB81B-1FBF-4C16-98DE-277F2C93F0F0}"/>
    <cellStyle name="Normal 9 3 3 8" xfId="4897" xr:uid="{00000000-0005-0000-0000-000021200000}"/>
    <cellStyle name="Normal 9 3 3 8 2" xfId="13339" xr:uid="{24573532-A8E9-45A9-B53F-44B1E0BD8124}"/>
    <cellStyle name="Normal 9 3 3 9" xfId="9121" xr:uid="{41A4C72A-ABCE-4695-A769-9BAEE2A9368A}"/>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FEB0A6C0-F3B2-43AA-904C-96D97B84C3B9}"/>
    <cellStyle name="Normal 9 3 4 2 2 3" xfId="11681" xr:uid="{78F23E41-C4C2-463D-AFD2-2B8EBE1BC655}"/>
    <cellStyle name="Normal 9 3 4 2 3" xfId="5312" xr:uid="{00000000-0005-0000-0000-000026200000}"/>
    <cellStyle name="Normal 9 3 4 2 3 2" xfId="13754" xr:uid="{184D0141-BDB0-43DC-B76E-7BE250FF81AD}"/>
    <cellStyle name="Normal 9 3 4 2 4" xfId="9536" xr:uid="{F16D7199-453E-4FAC-8D43-6549D5CEC479}"/>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1C9C7EB1-34E8-46F7-882F-E63254AD605D}"/>
    <cellStyle name="Normal 9 3 4 3 2 3" xfId="12094" xr:uid="{C71B1906-2FB8-4466-8890-C4E22C1EA0A3}"/>
    <cellStyle name="Normal 9 3 4 3 3" xfId="5725" xr:uid="{00000000-0005-0000-0000-00002A200000}"/>
    <cellStyle name="Normal 9 3 4 3 3 2" xfId="14167" xr:uid="{CDE7517A-5F1A-4A71-9EB4-6403FD88269C}"/>
    <cellStyle name="Normal 9 3 4 3 4" xfId="9949" xr:uid="{C5503BA9-CC92-4C01-9ACE-067892A01D67}"/>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6BF67ECF-92B2-4F02-B343-A71356FAD736}"/>
    <cellStyle name="Normal 9 3 4 4 2 3" xfId="12507" xr:uid="{C7807256-8BE2-47E2-9363-25F9F6DD362C}"/>
    <cellStyle name="Normal 9 3 4 4 3" xfId="6138" xr:uid="{00000000-0005-0000-0000-00002E200000}"/>
    <cellStyle name="Normal 9 3 4 4 3 2" xfId="14580" xr:uid="{49195B25-7453-47C2-948C-7B3BAB759F5C}"/>
    <cellStyle name="Normal 9 3 4 4 4" xfId="10362" xr:uid="{E18528C2-A872-40DE-BCE1-3C2C053640E9}"/>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BD33C208-0511-4BC1-B36F-2151053A1569}"/>
    <cellStyle name="Normal 9 3 4 5 2 3" xfId="12920" xr:uid="{5E7AA6FE-DA61-480F-9100-8513D4EC70E6}"/>
    <cellStyle name="Normal 9 3 4 5 3" xfId="6551" xr:uid="{00000000-0005-0000-0000-000032200000}"/>
    <cellStyle name="Normal 9 3 4 5 3 2" xfId="14993" xr:uid="{B0FA2917-711C-436B-AB8E-128068A3AFAB}"/>
    <cellStyle name="Normal 9 3 4 5 4" xfId="10775" xr:uid="{8EB3B0F6-CDD3-4A61-AA3A-87ECB3E1AF99}"/>
    <cellStyle name="Normal 9 3 4 6" xfId="2680" xr:uid="{00000000-0005-0000-0000-000033200000}"/>
    <cellStyle name="Normal 9 3 4 6 2" xfId="6964" xr:uid="{00000000-0005-0000-0000-000034200000}"/>
    <cellStyle name="Normal 9 3 4 6 2 2" xfId="15406" xr:uid="{F46EFE2D-EB85-4EE8-9BF8-90E46D8CA9B2}"/>
    <cellStyle name="Normal 9 3 4 6 3" xfId="11188" xr:uid="{443FD7C9-52CF-4DD2-8FFA-B76DB21DD63B}"/>
    <cellStyle name="Normal 9 3 4 7" xfId="4899" xr:uid="{00000000-0005-0000-0000-000035200000}"/>
    <cellStyle name="Normal 9 3 4 7 2" xfId="13341" xr:uid="{53BEBF5F-1AB2-40D3-BFA8-6F901C41CA1D}"/>
    <cellStyle name="Normal 9 3 4 8" xfId="9123" xr:uid="{F4A9AB97-A782-4A2A-93C7-C76C6166B30B}"/>
    <cellStyle name="Normal 9 3 5" xfId="994" xr:uid="{00000000-0005-0000-0000-000036200000}"/>
    <cellStyle name="Normal 9 3 5 2" xfId="3227" xr:uid="{00000000-0005-0000-0000-000037200000}"/>
    <cellStyle name="Normal 9 3 5 2 2" xfId="7450" xr:uid="{00000000-0005-0000-0000-000038200000}"/>
    <cellStyle name="Normal 9 3 5 2 2 2" xfId="15892" xr:uid="{97A60FA6-D5EB-4171-A621-26F6731922CE}"/>
    <cellStyle name="Normal 9 3 5 2 3" xfId="11674" xr:uid="{CC98413C-A7D9-4988-B2B8-CCF4F0845DA1}"/>
    <cellStyle name="Normal 9 3 5 3" xfId="5305" xr:uid="{00000000-0005-0000-0000-000039200000}"/>
    <cellStyle name="Normal 9 3 5 3 2" xfId="13747" xr:uid="{0852CD41-4D41-4A4A-9563-0FEB03166535}"/>
    <cellStyle name="Normal 9 3 5 4" xfId="9529" xr:uid="{4D30B3AD-B4F5-4B8E-92FC-9F331920C22C}"/>
    <cellStyle name="Normal 9 3 6" xfId="1410" xr:uid="{00000000-0005-0000-0000-00003A200000}"/>
    <cellStyle name="Normal 9 3 6 2" xfId="3640" xr:uid="{00000000-0005-0000-0000-00003B200000}"/>
    <cellStyle name="Normal 9 3 6 2 2" xfId="7863" xr:uid="{00000000-0005-0000-0000-00003C200000}"/>
    <cellStyle name="Normal 9 3 6 2 2 2" xfId="16305" xr:uid="{6731677C-D785-4D13-A069-7E2FE29A37C1}"/>
    <cellStyle name="Normal 9 3 6 2 3" xfId="12087" xr:uid="{08C7C733-DCDE-4475-914E-23D9B430CE36}"/>
    <cellStyle name="Normal 9 3 6 3" xfId="5718" xr:uid="{00000000-0005-0000-0000-00003D200000}"/>
    <cellStyle name="Normal 9 3 6 3 2" xfId="14160" xr:uid="{4966CE08-43F2-41DA-97C9-C00AFDC4F6A3}"/>
    <cellStyle name="Normal 9 3 6 4" xfId="9942" xr:uid="{11D870D5-2FCF-43E6-B22A-751C0509494C}"/>
    <cellStyle name="Normal 9 3 7" xfId="1823" xr:uid="{00000000-0005-0000-0000-00003E200000}"/>
    <cellStyle name="Normal 9 3 7 2" xfId="4053" xr:uid="{00000000-0005-0000-0000-00003F200000}"/>
    <cellStyle name="Normal 9 3 7 2 2" xfId="8276" xr:uid="{00000000-0005-0000-0000-000040200000}"/>
    <cellStyle name="Normal 9 3 7 2 2 2" xfId="16718" xr:uid="{77909018-4273-4AF4-A189-9018D7FD7758}"/>
    <cellStyle name="Normal 9 3 7 2 3" xfId="12500" xr:uid="{B96C5A68-14B2-4066-A418-9C93957E21FC}"/>
    <cellStyle name="Normal 9 3 7 3" xfId="6131" xr:uid="{00000000-0005-0000-0000-000041200000}"/>
    <cellStyle name="Normal 9 3 7 3 2" xfId="14573" xr:uid="{C537F349-A3A3-410E-A2BC-FCE45AE31E31}"/>
    <cellStyle name="Normal 9 3 7 4" xfId="10355" xr:uid="{19FC61A4-06A1-478B-9D9D-937134FAEB45}"/>
    <cellStyle name="Normal 9 3 8" xfId="2237" xr:uid="{00000000-0005-0000-0000-000042200000}"/>
    <cellStyle name="Normal 9 3 8 2" xfId="4466" xr:uid="{00000000-0005-0000-0000-000043200000}"/>
    <cellStyle name="Normal 9 3 8 2 2" xfId="8689" xr:uid="{00000000-0005-0000-0000-000044200000}"/>
    <cellStyle name="Normal 9 3 8 2 2 2" xfId="17131" xr:uid="{4F62744C-A9F5-46C1-A1CF-8B210A5438DB}"/>
    <cellStyle name="Normal 9 3 8 2 3" xfId="12913" xr:uid="{4A9D172D-226E-41E8-BF8A-154D4639936B}"/>
    <cellStyle name="Normal 9 3 8 3" xfId="6544" xr:uid="{00000000-0005-0000-0000-000045200000}"/>
    <cellStyle name="Normal 9 3 8 3 2" xfId="14986" xr:uid="{F1675878-AAD1-431A-976D-ACE60F1C5D88}"/>
    <cellStyle name="Normal 9 3 8 4" xfId="10768" xr:uid="{C68C93F2-D15C-47BB-BD05-F3611E066CE6}"/>
    <cellStyle name="Normal 9 3 9" xfId="2673" xr:uid="{00000000-0005-0000-0000-000046200000}"/>
    <cellStyle name="Normal 9 3 9 2" xfId="6957" xr:uid="{00000000-0005-0000-0000-000047200000}"/>
    <cellStyle name="Normal 9 3 9 2 2" xfId="15399" xr:uid="{B210A854-261B-4541-8AE2-ADB4DEC22D56}"/>
    <cellStyle name="Normal 9 3 9 3" xfId="11181" xr:uid="{BE530C7C-666B-4C9D-B29E-EFDE6D1F5B55}"/>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070EC32C-73FD-4B36-962B-AA90D980EFC1}"/>
    <cellStyle name="Normal 9 5 2 2 2 3" xfId="11683" xr:uid="{FB1C2C1E-9A20-4EA9-88E0-0A06D2BD1A0C}"/>
    <cellStyle name="Normal 9 5 2 2 3" xfId="5314" xr:uid="{00000000-0005-0000-0000-00004F200000}"/>
    <cellStyle name="Normal 9 5 2 2 3 2" xfId="13756" xr:uid="{80D8202B-84AF-4A16-BD58-A398EE0DA13C}"/>
    <cellStyle name="Normal 9 5 2 2 4" xfId="9538" xr:uid="{63DBF7D8-DC49-4053-8E24-E4A0D76183A8}"/>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B661AB6F-9C63-4048-B927-E13DD12BD32A}"/>
    <cellStyle name="Normal 9 5 2 3 2 3" xfId="12096" xr:uid="{7506B42A-BA36-49DA-9AD5-1DC106840388}"/>
    <cellStyle name="Normal 9 5 2 3 3" xfId="5727" xr:uid="{00000000-0005-0000-0000-000053200000}"/>
    <cellStyle name="Normal 9 5 2 3 3 2" xfId="14169" xr:uid="{F15C60EA-4082-4C88-9D58-536E63AE66DA}"/>
    <cellStyle name="Normal 9 5 2 3 4" xfId="9951" xr:uid="{43455FA8-4CCB-40C8-81A0-C6DCD5EBC129}"/>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775EBCCD-71A9-4DBB-8ACE-637EEB6EB08A}"/>
    <cellStyle name="Normal 9 5 2 4 2 3" xfId="12509" xr:uid="{85DA7472-A140-4F21-8076-1F1DC0F77981}"/>
    <cellStyle name="Normal 9 5 2 4 3" xfId="6140" xr:uid="{00000000-0005-0000-0000-000057200000}"/>
    <cellStyle name="Normal 9 5 2 4 3 2" xfId="14582" xr:uid="{D233359F-6073-447F-A1B2-627A52BE04D5}"/>
    <cellStyle name="Normal 9 5 2 4 4" xfId="10364" xr:uid="{15059D2C-11BF-4FE5-B6BD-5B576E2DA0D6}"/>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2ED7B8B9-1936-441C-B877-37DF29D08DA0}"/>
    <cellStyle name="Normal 9 5 2 5 2 3" xfId="12922" xr:uid="{D0E3DBF6-A906-4BB9-A44C-991966A8D44B}"/>
    <cellStyle name="Normal 9 5 2 5 3" xfId="6553" xr:uid="{00000000-0005-0000-0000-00005B200000}"/>
    <cellStyle name="Normal 9 5 2 5 3 2" xfId="14995" xr:uid="{1A501B8F-537F-4881-992D-169427EA7FE4}"/>
    <cellStyle name="Normal 9 5 2 5 4" xfId="10777" xr:uid="{F971D656-21BA-4C67-A1CB-D88D2BD25A25}"/>
    <cellStyle name="Normal 9 5 2 6" xfId="2682" xr:uid="{00000000-0005-0000-0000-00005C200000}"/>
    <cellStyle name="Normal 9 5 2 6 2" xfId="6966" xr:uid="{00000000-0005-0000-0000-00005D200000}"/>
    <cellStyle name="Normal 9 5 2 6 2 2" xfId="15408" xr:uid="{58283FA3-479E-4DD1-ACD2-023FC2978FA7}"/>
    <cellStyle name="Normal 9 5 2 6 3" xfId="11190" xr:uid="{5A25F44B-BF56-482A-8CC1-B66BEBD37B09}"/>
    <cellStyle name="Normal 9 5 2 7" xfId="4901" xr:uid="{00000000-0005-0000-0000-00005E200000}"/>
    <cellStyle name="Normal 9 5 2 7 2" xfId="13343" xr:uid="{4E39692E-A1EE-4932-8A06-5FD27ECEE7E6}"/>
    <cellStyle name="Normal 9 5 2 8" xfId="9125" xr:uid="{A09C6336-1838-4CD0-95EC-DF7FCF3E9DF1}"/>
    <cellStyle name="Normal 9 5 3" xfId="1003" xr:uid="{00000000-0005-0000-0000-00005F200000}"/>
    <cellStyle name="Normal 9 5 3 2" xfId="3235" xr:uid="{00000000-0005-0000-0000-000060200000}"/>
    <cellStyle name="Normal 9 5 3 2 2" xfId="7458" xr:uid="{00000000-0005-0000-0000-000061200000}"/>
    <cellStyle name="Normal 9 5 3 2 2 2" xfId="15900" xr:uid="{2B95C9B2-5C10-4C8D-BF1C-CED3E6909F71}"/>
    <cellStyle name="Normal 9 5 3 2 3" xfId="11682" xr:uid="{9BDB925C-F842-4EDD-8A66-1E8055AB707B}"/>
    <cellStyle name="Normal 9 5 3 3" xfId="5313" xr:uid="{00000000-0005-0000-0000-000062200000}"/>
    <cellStyle name="Normal 9 5 3 3 2" xfId="13755" xr:uid="{B2D8C74E-D8CF-4F7C-82C2-7E62B9CD25EC}"/>
    <cellStyle name="Normal 9 5 3 4" xfId="9537" xr:uid="{88658CD5-30C5-4D46-8981-A4DFB2BFE491}"/>
    <cellStyle name="Normal 9 5 4" xfId="1418" xr:uid="{00000000-0005-0000-0000-000063200000}"/>
    <cellStyle name="Normal 9 5 4 2" xfId="3648" xr:uid="{00000000-0005-0000-0000-000064200000}"/>
    <cellStyle name="Normal 9 5 4 2 2" xfId="7871" xr:uid="{00000000-0005-0000-0000-000065200000}"/>
    <cellStyle name="Normal 9 5 4 2 2 2" xfId="16313" xr:uid="{062ACB43-EDFF-4E8D-A805-CC0E7EAF227D}"/>
    <cellStyle name="Normal 9 5 4 2 3" xfId="12095" xr:uid="{25CD1D4D-0566-459E-9EBB-A36F7244E870}"/>
    <cellStyle name="Normal 9 5 4 3" xfId="5726" xr:uid="{00000000-0005-0000-0000-000066200000}"/>
    <cellStyle name="Normal 9 5 4 3 2" xfId="14168" xr:uid="{0F2A624D-D406-4038-968B-E5127C2CDDC3}"/>
    <cellStyle name="Normal 9 5 4 4" xfId="9950" xr:uid="{6380FF10-FF81-493C-8786-99CFF9FDA051}"/>
    <cellStyle name="Normal 9 5 5" xfId="1831" xr:uid="{00000000-0005-0000-0000-000067200000}"/>
    <cellStyle name="Normal 9 5 5 2" xfId="4061" xr:uid="{00000000-0005-0000-0000-000068200000}"/>
    <cellStyle name="Normal 9 5 5 2 2" xfId="8284" xr:uid="{00000000-0005-0000-0000-000069200000}"/>
    <cellStyle name="Normal 9 5 5 2 2 2" xfId="16726" xr:uid="{E143C509-7E59-44DA-90CC-4826FC4C5EE4}"/>
    <cellStyle name="Normal 9 5 5 2 3" xfId="12508" xr:uid="{2A305651-BEE3-4403-BC60-2E3E69CD3182}"/>
    <cellStyle name="Normal 9 5 5 3" xfId="6139" xr:uid="{00000000-0005-0000-0000-00006A200000}"/>
    <cellStyle name="Normal 9 5 5 3 2" xfId="14581" xr:uid="{BA506FED-EF83-46EE-9067-0D56113F9F67}"/>
    <cellStyle name="Normal 9 5 5 4" xfId="10363" xr:uid="{4E089DD4-9D03-471A-A7D6-1726EC669F8A}"/>
    <cellStyle name="Normal 9 5 6" xfId="2245" xr:uid="{00000000-0005-0000-0000-00006B200000}"/>
    <cellStyle name="Normal 9 5 6 2" xfId="4474" xr:uid="{00000000-0005-0000-0000-00006C200000}"/>
    <cellStyle name="Normal 9 5 6 2 2" xfId="8697" xr:uid="{00000000-0005-0000-0000-00006D200000}"/>
    <cellStyle name="Normal 9 5 6 2 2 2" xfId="17139" xr:uid="{CBBCE4E9-0628-4B1F-BEE8-5079F1D2F48B}"/>
    <cellStyle name="Normal 9 5 6 2 3" xfId="12921" xr:uid="{5A870B7E-E9C9-4129-BEBA-ED0C81706050}"/>
    <cellStyle name="Normal 9 5 6 3" xfId="6552" xr:uid="{00000000-0005-0000-0000-00006E200000}"/>
    <cellStyle name="Normal 9 5 6 3 2" xfId="14994" xr:uid="{873F0EFB-8BC7-480D-9ADB-FCABFEF36A48}"/>
    <cellStyle name="Normal 9 5 6 4" xfId="10776" xr:uid="{C6D427B1-2C9E-4431-A797-FF75DF650FF1}"/>
    <cellStyle name="Normal 9 5 7" xfId="2681" xr:uid="{00000000-0005-0000-0000-00006F200000}"/>
    <cellStyle name="Normal 9 5 7 2" xfId="6965" xr:uid="{00000000-0005-0000-0000-000070200000}"/>
    <cellStyle name="Normal 9 5 7 2 2" xfId="15407" xr:uid="{33C4B4A9-9C1B-4635-8830-9F65E8C6BD6E}"/>
    <cellStyle name="Normal 9 5 7 3" xfId="11189" xr:uid="{ABB8D21D-962C-4B24-ABAA-F246ED159F70}"/>
    <cellStyle name="Normal 9 5 8" xfId="4900" xr:uid="{00000000-0005-0000-0000-000071200000}"/>
    <cellStyle name="Normal 9 5 8 2" xfId="13342" xr:uid="{AED05507-FBAE-4CD3-91D1-95435BFDA3B7}"/>
    <cellStyle name="Normal 9 5 9" xfId="9124" xr:uid="{734BB6A6-E256-4EB1-A420-CA1EFB6D4AE1}"/>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ED97C8C4-98F0-4875-BAFB-18A5C93934DC}"/>
    <cellStyle name="Normal 9 6 2 2 3" xfId="11684" xr:uid="{97C54F82-379D-431E-B353-F335ACE97085}"/>
    <cellStyle name="Normal 9 6 2 3" xfId="5315" xr:uid="{00000000-0005-0000-0000-000076200000}"/>
    <cellStyle name="Normal 9 6 2 3 2" xfId="13757" xr:uid="{0FDA3595-0B28-4FA3-8933-85146800E0C7}"/>
    <cellStyle name="Normal 9 6 2 4" xfId="9539" xr:uid="{D8B8DFC8-A6DD-492B-A99D-1F46B8548EBB}"/>
    <cellStyle name="Normal 9 6 3" xfId="1420" xr:uid="{00000000-0005-0000-0000-000077200000}"/>
    <cellStyle name="Normal 9 6 3 2" xfId="3650" xr:uid="{00000000-0005-0000-0000-000078200000}"/>
    <cellStyle name="Normal 9 6 3 2 2" xfId="7873" xr:uid="{00000000-0005-0000-0000-000079200000}"/>
    <cellStyle name="Normal 9 6 3 2 2 2" xfId="16315" xr:uid="{C661F325-FAA9-4D2A-A266-7A1E553A2B22}"/>
    <cellStyle name="Normal 9 6 3 2 3" xfId="12097" xr:uid="{0343EE14-2F32-4AFD-9CFA-C626F0A8CDD2}"/>
    <cellStyle name="Normal 9 6 3 3" xfId="5728" xr:uid="{00000000-0005-0000-0000-00007A200000}"/>
    <cellStyle name="Normal 9 6 3 3 2" xfId="14170" xr:uid="{7951CBCD-689E-4F65-9860-0BCB646D0BD6}"/>
    <cellStyle name="Normal 9 6 3 4" xfId="9952" xr:uid="{81158441-FF38-437D-A439-091455ADFE52}"/>
    <cellStyle name="Normal 9 6 4" xfId="1833" xr:uid="{00000000-0005-0000-0000-00007B200000}"/>
    <cellStyle name="Normal 9 6 4 2" xfId="4063" xr:uid="{00000000-0005-0000-0000-00007C200000}"/>
    <cellStyle name="Normal 9 6 4 2 2" xfId="8286" xr:uid="{00000000-0005-0000-0000-00007D200000}"/>
    <cellStyle name="Normal 9 6 4 2 2 2" xfId="16728" xr:uid="{2CE32627-4D42-40B8-8F12-C5FFE1BA084C}"/>
    <cellStyle name="Normal 9 6 4 2 3" xfId="12510" xr:uid="{FA92E45F-9702-4DDF-98F2-54C1BF24A5A0}"/>
    <cellStyle name="Normal 9 6 4 3" xfId="6141" xr:uid="{00000000-0005-0000-0000-00007E200000}"/>
    <cellStyle name="Normal 9 6 4 3 2" xfId="14583" xr:uid="{43F7D62F-0339-4C60-B1DD-0317C883D20A}"/>
    <cellStyle name="Normal 9 6 4 4" xfId="10365" xr:uid="{EB478CED-DD73-4169-93D0-BFC07923E4CF}"/>
    <cellStyle name="Normal 9 6 5" xfId="2247" xr:uid="{00000000-0005-0000-0000-00007F200000}"/>
    <cellStyle name="Normal 9 6 5 2" xfId="4476" xr:uid="{00000000-0005-0000-0000-000080200000}"/>
    <cellStyle name="Normal 9 6 5 2 2" xfId="8699" xr:uid="{00000000-0005-0000-0000-000081200000}"/>
    <cellStyle name="Normal 9 6 5 2 2 2" xfId="17141" xr:uid="{F658B063-705B-42F6-8413-3AEC7EFB1CC8}"/>
    <cellStyle name="Normal 9 6 5 2 3" xfId="12923" xr:uid="{A947CFCF-6531-4A09-91D0-347381FEF4E2}"/>
    <cellStyle name="Normal 9 6 5 3" xfId="6554" xr:uid="{00000000-0005-0000-0000-000082200000}"/>
    <cellStyle name="Normal 9 6 5 3 2" xfId="14996" xr:uid="{DA6D799D-5ED9-4EF1-87AB-42AEE6F0FD98}"/>
    <cellStyle name="Normal 9 6 5 4" xfId="10778" xr:uid="{BA2CE917-B0DA-4A63-845F-F39011D2BBB7}"/>
    <cellStyle name="Normal 9 6 6" xfId="2683" xr:uid="{00000000-0005-0000-0000-000083200000}"/>
    <cellStyle name="Normal 9 6 6 2" xfId="6967" xr:uid="{00000000-0005-0000-0000-000084200000}"/>
    <cellStyle name="Normal 9 6 6 2 2" xfId="15409" xr:uid="{529E8813-1576-484C-B940-504A369B1FB2}"/>
    <cellStyle name="Normal 9 6 6 3" xfId="11191" xr:uid="{424AA7CE-AD92-4BEE-A1D9-A357B02E1EAC}"/>
    <cellStyle name="Normal 9 6 7" xfId="4902" xr:uid="{00000000-0005-0000-0000-000085200000}"/>
    <cellStyle name="Normal 9 6 7 2" xfId="13344" xr:uid="{119812A9-ECFC-4F0D-B7AD-6CB1D6FEA545}"/>
    <cellStyle name="Normal 9 6 8" xfId="9126" xr:uid="{49B312ED-0DE9-43F3-B478-A33068B5EDDB}"/>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2C5E7EA0-51C2-4B58-B5E1-3152B0EDAEDE}"/>
    <cellStyle name="Note 2 2 10 3" xfId="11272" xr:uid="{4609B7FF-495E-4109-B87D-4AB1A6E79035}"/>
    <cellStyle name="Note 2 2 11" xfId="4903" xr:uid="{00000000-0005-0000-0000-000094200000}"/>
    <cellStyle name="Note 2 2 11 2" xfId="13345" xr:uid="{34EA472F-2D2F-42F7-9CED-01AA1B7053BA}"/>
    <cellStyle name="Note 2 2 12" xfId="9127" xr:uid="{8325518A-908F-4975-972F-0F13462F98AA}"/>
    <cellStyle name="Note 2 2 2" xfId="546" xr:uid="{00000000-0005-0000-0000-000095200000}"/>
    <cellStyle name="Note 2 2 2 10" xfId="4904" xr:uid="{00000000-0005-0000-0000-000096200000}"/>
    <cellStyle name="Note 2 2 2 10 2" xfId="13346" xr:uid="{3DBC8DD7-3DF5-4187-81AF-8E408C4103D9}"/>
    <cellStyle name="Note 2 2 2 11" xfId="9128" xr:uid="{E2C46883-3DB1-418B-9FB9-A2DC2EBE5DA2}"/>
    <cellStyle name="Note 2 2 2 2" xfId="547" xr:uid="{00000000-0005-0000-0000-000097200000}"/>
    <cellStyle name="Note 2 2 2 2 10" xfId="9129" xr:uid="{4FB75138-9155-4A86-B36E-C8169B30A4D0}"/>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0D6D0262-5E45-4236-BE50-2B9E7BBF463A}"/>
    <cellStyle name="Note 2 2 2 2 2 2 3" xfId="11687" xr:uid="{4E7E216E-0311-4671-8455-5A8FED362E59}"/>
    <cellStyle name="Note 2 2 2 2 2 3" xfId="5318" xr:uid="{00000000-0005-0000-0000-00009B200000}"/>
    <cellStyle name="Note 2 2 2 2 2 3 2" xfId="13760" xr:uid="{92562AD3-A0F3-49DA-80E8-F64DF344DCB9}"/>
    <cellStyle name="Note 2 2 2 2 2 4" xfId="9542" xr:uid="{6CBD7E7A-8161-46A7-8848-2949C392BC38}"/>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5FCC5A5C-ABF0-455B-8940-423C0D21B24C}"/>
    <cellStyle name="Note 2 2 2 2 3 2 3" xfId="12100" xr:uid="{FFAA9D9F-AEEA-4743-924C-CD90BBC4AF84}"/>
    <cellStyle name="Note 2 2 2 2 3 3" xfId="5731" xr:uid="{00000000-0005-0000-0000-00009F200000}"/>
    <cellStyle name="Note 2 2 2 2 3 3 2" xfId="14173" xr:uid="{F5E38D49-AE58-47CD-92BA-B2F2198118F4}"/>
    <cellStyle name="Note 2 2 2 2 3 4" xfId="9955" xr:uid="{9EC3127C-6256-4FCA-AF75-707667E5C6B9}"/>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D532C2DE-EAEC-448D-8CDF-5993B84E2E79}"/>
    <cellStyle name="Note 2 2 2 2 4 2 3" xfId="12513" xr:uid="{B63C3EB3-A904-400A-B90B-4234D06C2790}"/>
    <cellStyle name="Note 2 2 2 2 4 3" xfId="6144" xr:uid="{00000000-0005-0000-0000-0000A3200000}"/>
    <cellStyle name="Note 2 2 2 2 4 3 2" xfId="14586" xr:uid="{A5D92B26-B5C7-4324-8B6C-689B3A754159}"/>
    <cellStyle name="Note 2 2 2 2 4 4" xfId="10368" xr:uid="{FACC383D-A852-43C7-B993-B72692C2D8A9}"/>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BE83843A-777E-48BA-98B1-3A5381F81CB0}"/>
    <cellStyle name="Note 2 2 2 2 5 2 3" xfId="12926" xr:uid="{94271704-1C8F-4AB6-A2D5-F92A68E1C8A7}"/>
    <cellStyle name="Note 2 2 2 2 5 3" xfId="6557" xr:uid="{00000000-0005-0000-0000-0000A7200000}"/>
    <cellStyle name="Note 2 2 2 2 5 3 2" xfId="14999" xr:uid="{5AA655BC-D665-413D-9841-B33EFCDE7144}"/>
    <cellStyle name="Note 2 2 2 2 5 4" xfId="10781" xr:uid="{61A7ED7E-68A8-4966-9DD1-3EEA819BD07A}"/>
    <cellStyle name="Note 2 2 2 2 6" xfId="2686" xr:uid="{00000000-0005-0000-0000-0000A8200000}"/>
    <cellStyle name="Note 2 2 2 2 6 2" xfId="6970" xr:uid="{00000000-0005-0000-0000-0000A9200000}"/>
    <cellStyle name="Note 2 2 2 2 6 2 2" xfId="15412" xr:uid="{A6C3EF6D-2631-45E2-9101-FCFFEC5FD266}"/>
    <cellStyle name="Note 2 2 2 2 6 3" xfId="11194" xr:uid="{A25773E2-A13C-4FD2-A139-106822B6C10E}"/>
    <cellStyle name="Note 2 2 2 2 7" xfId="2745" xr:uid="{00000000-0005-0000-0000-0000AA200000}"/>
    <cellStyle name="Note 2 2 2 2 8" xfId="2826" xr:uid="{00000000-0005-0000-0000-0000AB200000}"/>
    <cellStyle name="Note 2 2 2 2 8 2" xfId="7050" xr:uid="{00000000-0005-0000-0000-0000AC200000}"/>
    <cellStyle name="Note 2 2 2 2 8 2 2" xfId="15492" xr:uid="{F2E5A5DF-C02D-4B9B-8478-7B26246AE30D}"/>
    <cellStyle name="Note 2 2 2 2 8 3" xfId="11274" xr:uid="{34B2F69D-87A8-4303-84AB-E7C8414B1FC7}"/>
    <cellStyle name="Note 2 2 2 2 9" xfId="4905" xr:uid="{00000000-0005-0000-0000-0000AD200000}"/>
    <cellStyle name="Note 2 2 2 2 9 2" xfId="13347" xr:uid="{B1D1F74B-CC3D-43E6-8479-E067D4AFEA33}"/>
    <cellStyle name="Note 2 2 2 3" xfId="1007" xr:uid="{00000000-0005-0000-0000-0000AE200000}"/>
    <cellStyle name="Note 2 2 2 3 2" xfId="3239" xr:uid="{00000000-0005-0000-0000-0000AF200000}"/>
    <cellStyle name="Note 2 2 2 3 2 2" xfId="7462" xr:uid="{00000000-0005-0000-0000-0000B0200000}"/>
    <cellStyle name="Note 2 2 2 3 2 2 2" xfId="15904" xr:uid="{50EEA58C-5C46-4D50-8250-DC5BE391564C}"/>
    <cellStyle name="Note 2 2 2 3 2 3" xfId="11686" xr:uid="{73E82578-5383-4036-B82A-9B5B49563A5E}"/>
    <cellStyle name="Note 2 2 2 3 3" xfId="5317" xr:uid="{00000000-0005-0000-0000-0000B1200000}"/>
    <cellStyle name="Note 2 2 2 3 3 2" xfId="13759" xr:uid="{6EE536EC-10A0-4CDE-8FEC-3E414EDA56DC}"/>
    <cellStyle name="Note 2 2 2 3 4" xfId="9541" xr:uid="{81789E98-8D9C-41C5-8184-7A07E0B23FEA}"/>
    <cellStyle name="Note 2 2 2 4" xfId="1422" xr:uid="{00000000-0005-0000-0000-0000B2200000}"/>
    <cellStyle name="Note 2 2 2 4 2" xfId="3652" xr:uid="{00000000-0005-0000-0000-0000B3200000}"/>
    <cellStyle name="Note 2 2 2 4 2 2" xfId="7875" xr:uid="{00000000-0005-0000-0000-0000B4200000}"/>
    <cellStyle name="Note 2 2 2 4 2 2 2" xfId="16317" xr:uid="{0DA4304F-6DA8-488F-858D-B3BA6832833E}"/>
    <cellStyle name="Note 2 2 2 4 2 3" xfId="12099" xr:uid="{4B5BFABA-8F76-442F-A421-41BFBD0D5A70}"/>
    <cellStyle name="Note 2 2 2 4 3" xfId="5730" xr:uid="{00000000-0005-0000-0000-0000B5200000}"/>
    <cellStyle name="Note 2 2 2 4 3 2" xfId="14172" xr:uid="{DD234F4B-26CC-4260-9C55-65DDD381CDDC}"/>
    <cellStyle name="Note 2 2 2 4 4" xfId="9954" xr:uid="{7AF18556-7CD5-441D-9E21-5BA581BE5CB6}"/>
    <cellStyle name="Note 2 2 2 5" xfId="1836" xr:uid="{00000000-0005-0000-0000-0000B6200000}"/>
    <cellStyle name="Note 2 2 2 5 2" xfId="4065" xr:uid="{00000000-0005-0000-0000-0000B7200000}"/>
    <cellStyle name="Note 2 2 2 5 2 2" xfId="8288" xr:uid="{00000000-0005-0000-0000-0000B8200000}"/>
    <cellStyle name="Note 2 2 2 5 2 2 2" xfId="16730" xr:uid="{62DA9546-1B8A-4312-AD8F-058C104CA2D7}"/>
    <cellStyle name="Note 2 2 2 5 2 3" xfId="12512" xr:uid="{A2B8D0C6-544E-4447-B905-1929E86E016A}"/>
    <cellStyle name="Note 2 2 2 5 3" xfId="6143" xr:uid="{00000000-0005-0000-0000-0000B9200000}"/>
    <cellStyle name="Note 2 2 2 5 3 2" xfId="14585" xr:uid="{3DB613AD-E195-4F7D-91DB-A6DCA38FD405}"/>
    <cellStyle name="Note 2 2 2 5 4" xfId="10367" xr:uid="{B7019559-1698-40F5-93A6-7AAAAEF9DA68}"/>
    <cellStyle name="Note 2 2 2 6" xfId="2249" xr:uid="{00000000-0005-0000-0000-0000BA200000}"/>
    <cellStyle name="Note 2 2 2 6 2" xfId="4478" xr:uid="{00000000-0005-0000-0000-0000BB200000}"/>
    <cellStyle name="Note 2 2 2 6 2 2" xfId="8701" xr:uid="{00000000-0005-0000-0000-0000BC200000}"/>
    <cellStyle name="Note 2 2 2 6 2 2 2" xfId="17143" xr:uid="{823594BC-06AF-4B4F-8ADF-973E496CAD40}"/>
    <cellStyle name="Note 2 2 2 6 2 3" xfId="12925" xr:uid="{30BA107C-C21A-45CB-9946-1169C9090876}"/>
    <cellStyle name="Note 2 2 2 6 3" xfId="6556" xr:uid="{00000000-0005-0000-0000-0000BD200000}"/>
    <cellStyle name="Note 2 2 2 6 3 2" xfId="14998" xr:uid="{BC41A92A-70B7-489F-9A43-01DE42C9A565}"/>
    <cellStyle name="Note 2 2 2 6 4" xfId="10780" xr:uid="{9BEF75D8-9E9A-491F-93B0-558FEF399837}"/>
    <cellStyle name="Note 2 2 2 7" xfId="2685" xr:uid="{00000000-0005-0000-0000-0000BE200000}"/>
    <cellStyle name="Note 2 2 2 7 2" xfId="6969" xr:uid="{00000000-0005-0000-0000-0000BF200000}"/>
    <cellStyle name="Note 2 2 2 7 2 2" xfId="15411" xr:uid="{D6E097CA-9928-4632-8956-D73913A2D723}"/>
    <cellStyle name="Note 2 2 2 7 3" xfId="11193" xr:uid="{859A4C22-7699-4833-9601-1006FFF80FEF}"/>
    <cellStyle name="Note 2 2 2 8" xfId="2744" xr:uid="{00000000-0005-0000-0000-0000C0200000}"/>
    <cellStyle name="Note 2 2 2 9" xfId="2825" xr:uid="{00000000-0005-0000-0000-0000C1200000}"/>
    <cellStyle name="Note 2 2 2 9 2" xfId="7049" xr:uid="{00000000-0005-0000-0000-0000C2200000}"/>
    <cellStyle name="Note 2 2 2 9 2 2" xfId="15491" xr:uid="{78E5FB42-CCED-4920-A174-52DFE318C0D8}"/>
    <cellStyle name="Note 2 2 2 9 3" xfId="11273" xr:uid="{D455E456-A8CE-47CF-87A5-DF27240B5ACF}"/>
    <cellStyle name="Note 2 2 3" xfId="548" xr:uid="{00000000-0005-0000-0000-0000C3200000}"/>
    <cellStyle name="Note 2 2 3 10" xfId="9130" xr:uid="{BAE54192-6231-4D09-903E-F2528100327A}"/>
    <cellStyle name="Note 2 2 3 2" xfId="1009" xr:uid="{00000000-0005-0000-0000-0000C4200000}"/>
    <cellStyle name="Note 2 2 3 2 2" xfId="3241" xr:uid="{00000000-0005-0000-0000-0000C5200000}"/>
    <cellStyle name="Note 2 2 3 2 2 2" xfId="7464" xr:uid="{00000000-0005-0000-0000-0000C6200000}"/>
    <cellStyle name="Note 2 2 3 2 2 2 2" xfId="15906" xr:uid="{61E52566-3FF5-4A6C-A34C-122320AE98F4}"/>
    <cellStyle name="Note 2 2 3 2 2 3" xfId="11688" xr:uid="{34E24FBE-3384-4756-8EC6-8AECE14FE684}"/>
    <cellStyle name="Note 2 2 3 2 3" xfId="5319" xr:uid="{00000000-0005-0000-0000-0000C7200000}"/>
    <cellStyle name="Note 2 2 3 2 3 2" xfId="13761" xr:uid="{4D3B4D76-98D1-41DA-80FD-608AA53F607B}"/>
    <cellStyle name="Note 2 2 3 2 4" xfId="9543" xr:uid="{699F665C-1ACF-4312-940E-5F7CAEEF5D7D}"/>
    <cellStyle name="Note 2 2 3 3" xfId="1424" xr:uid="{00000000-0005-0000-0000-0000C8200000}"/>
    <cellStyle name="Note 2 2 3 3 2" xfId="3654" xr:uid="{00000000-0005-0000-0000-0000C9200000}"/>
    <cellStyle name="Note 2 2 3 3 2 2" xfId="7877" xr:uid="{00000000-0005-0000-0000-0000CA200000}"/>
    <cellStyle name="Note 2 2 3 3 2 2 2" xfId="16319" xr:uid="{0B54369D-EA32-43BD-9B3A-296C0A15F654}"/>
    <cellStyle name="Note 2 2 3 3 2 3" xfId="12101" xr:uid="{2AD210C7-0828-4EEE-8851-45C11608D185}"/>
    <cellStyle name="Note 2 2 3 3 3" xfId="5732" xr:uid="{00000000-0005-0000-0000-0000CB200000}"/>
    <cellStyle name="Note 2 2 3 3 3 2" xfId="14174" xr:uid="{B5AA3BD4-84BC-4B29-87E6-1AE4FF576910}"/>
    <cellStyle name="Note 2 2 3 3 4" xfId="9956" xr:uid="{399730A9-8834-4F0D-8F0D-357FF0A51355}"/>
    <cellStyle name="Note 2 2 3 4" xfId="1838" xr:uid="{00000000-0005-0000-0000-0000CC200000}"/>
    <cellStyle name="Note 2 2 3 4 2" xfId="4067" xr:uid="{00000000-0005-0000-0000-0000CD200000}"/>
    <cellStyle name="Note 2 2 3 4 2 2" xfId="8290" xr:uid="{00000000-0005-0000-0000-0000CE200000}"/>
    <cellStyle name="Note 2 2 3 4 2 2 2" xfId="16732" xr:uid="{965820B9-B214-45B1-A29A-3433CE2B159A}"/>
    <cellStyle name="Note 2 2 3 4 2 3" xfId="12514" xr:uid="{450A74BD-AB5B-46BC-BAE8-AFD16F08634F}"/>
    <cellStyle name="Note 2 2 3 4 3" xfId="6145" xr:uid="{00000000-0005-0000-0000-0000CF200000}"/>
    <cellStyle name="Note 2 2 3 4 3 2" xfId="14587" xr:uid="{BF7F7271-C752-4AD7-93B5-F859F55BF7EB}"/>
    <cellStyle name="Note 2 2 3 4 4" xfId="10369" xr:uid="{4AA452A0-D906-4BEF-B1FC-44734BF1DB8B}"/>
    <cellStyle name="Note 2 2 3 5" xfId="2251" xr:uid="{00000000-0005-0000-0000-0000D0200000}"/>
    <cellStyle name="Note 2 2 3 5 2" xfId="4480" xr:uid="{00000000-0005-0000-0000-0000D1200000}"/>
    <cellStyle name="Note 2 2 3 5 2 2" xfId="8703" xr:uid="{00000000-0005-0000-0000-0000D2200000}"/>
    <cellStyle name="Note 2 2 3 5 2 2 2" xfId="17145" xr:uid="{20F90777-C8FD-4FF0-8164-C3DAD28316DE}"/>
    <cellStyle name="Note 2 2 3 5 2 3" xfId="12927" xr:uid="{982BC612-7977-4091-A303-FE48A8B3BDE7}"/>
    <cellStyle name="Note 2 2 3 5 3" xfId="6558" xr:uid="{00000000-0005-0000-0000-0000D3200000}"/>
    <cellStyle name="Note 2 2 3 5 3 2" xfId="15000" xr:uid="{BDB2ED7E-7277-4D2E-ADD9-0EEB0A560F6C}"/>
    <cellStyle name="Note 2 2 3 5 4" xfId="10782" xr:uid="{61CB6365-0239-4CB8-B481-6AC0F40D1601}"/>
    <cellStyle name="Note 2 2 3 6" xfId="2687" xr:uid="{00000000-0005-0000-0000-0000D4200000}"/>
    <cellStyle name="Note 2 2 3 6 2" xfId="6971" xr:uid="{00000000-0005-0000-0000-0000D5200000}"/>
    <cellStyle name="Note 2 2 3 6 2 2" xfId="15413" xr:uid="{FB8A360E-33F0-4445-8D29-E5BF600CFC88}"/>
    <cellStyle name="Note 2 2 3 6 3" xfId="11195" xr:uid="{CC5B1D87-DDDE-491A-A905-6368EC27EA52}"/>
    <cellStyle name="Note 2 2 3 7" xfId="2746" xr:uid="{00000000-0005-0000-0000-0000D6200000}"/>
    <cellStyle name="Note 2 2 3 8" xfId="2827" xr:uid="{00000000-0005-0000-0000-0000D7200000}"/>
    <cellStyle name="Note 2 2 3 8 2" xfId="7051" xr:uid="{00000000-0005-0000-0000-0000D8200000}"/>
    <cellStyle name="Note 2 2 3 8 2 2" xfId="15493" xr:uid="{BF888050-5D18-46CD-B3C5-1E1540A4F01D}"/>
    <cellStyle name="Note 2 2 3 8 3" xfId="11275" xr:uid="{BF9F723C-40DF-4A76-A888-9356D7AAA449}"/>
    <cellStyle name="Note 2 2 3 9" xfId="4906" xr:uid="{00000000-0005-0000-0000-0000D9200000}"/>
    <cellStyle name="Note 2 2 3 9 2" xfId="13348" xr:uid="{DAEB4B39-B0EC-4FB7-9CC2-702215509728}"/>
    <cellStyle name="Note 2 2 4" xfId="1006" xr:uid="{00000000-0005-0000-0000-0000DA200000}"/>
    <cellStyle name="Note 2 2 4 2" xfId="3238" xr:uid="{00000000-0005-0000-0000-0000DB200000}"/>
    <cellStyle name="Note 2 2 4 2 2" xfId="7461" xr:uid="{00000000-0005-0000-0000-0000DC200000}"/>
    <cellStyle name="Note 2 2 4 2 2 2" xfId="15903" xr:uid="{C8FBB10D-05DD-49EC-A698-28F5ABFE6DCD}"/>
    <cellStyle name="Note 2 2 4 2 3" xfId="11685" xr:uid="{C313D30F-FDA9-4B0A-A825-5F564096D1F3}"/>
    <cellStyle name="Note 2 2 4 3" xfId="5316" xr:uid="{00000000-0005-0000-0000-0000DD200000}"/>
    <cellStyle name="Note 2 2 4 3 2" xfId="13758" xr:uid="{67A7CC7B-36F9-484D-8C08-DF8019F5AA85}"/>
    <cellStyle name="Note 2 2 4 4" xfId="9540" xr:uid="{12C39F88-81D4-4CB9-A298-EA6E9B603370}"/>
    <cellStyle name="Note 2 2 5" xfId="1421" xr:uid="{00000000-0005-0000-0000-0000DE200000}"/>
    <cellStyle name="Note 2 2 5 2" xfId="3651" xr:uid="{00000000-0005-0000-0000-0000DF200000}"/>
    <cellStyle name="Note 2 2 5 2 2" xfId="7874" xr:uid="{00000000-0005-0000-0000-0000E0200000}"/>
    <cellStyle name="Note 2 2 5 2 2 2" xfId="16316" xr:uid="{BEC73E8A-BA37-4BA9-ABD5-FD95E68AA025}"/>
    <cellStyle name="Note 2 2 5 2 3" xfId="12098" xr:uid="{EB99B6C5-39BF-43FB-A4E6-3574C7C48149}"/>
    <cellStyle name="Note 2 2 5 3" xfId="5729" xr:uid="{00000000-0005-0000-0000-0000E1200000}"/>
    <cellStyle name="Note 2 2 5 3 2" xfId="14171" xr:uid="{6D96B48E-A8F5-4902-B77E-3D3DEE58C640}"/>
    <cellStyle name="Note 2 2 5 4" xfId="9953" xr:uid="{ADD31DF1-F1C7-4972-B6D8-DF4EB8E5E712}"/>
    <cellStyle name="Note 2 2 6" xfId="1835" xr:uid="{00000000-0005-0000-0000-0000E2200000}"/>
    <cellStyle name="Note 2 2 6 2" xfId="4064" xr:uid="{00000000-0005-0000-0000-0000E3200000}"/>
    <cellStyle name="Note 2 2 6 2 2" xfId="8287" xr:uid="{00000000-0005-0000-0000-0000E4200000}"/>
    <cellStyle name="Note 2 2 6 2 2 2" xfId="16729" xr:uid="{DF8646E4-3181-4EC0-8193-80305EFC9D9F}"/>
    <cellStyle name="Note 2 2 6 2 3" xfId="12511" xr:uid="{753FB0F2-E03D-4333-A291-4B372C6A0161}"/>
    <cellStyle name="Note 2 2 6 3" xfId="6142" xr:uid="{00000000-0005-0000-0000-0000E5200000}"/>
    <cellStyle name="Note 2 2 6 3 2" xfId="14584" xr:uid="{FCB22C98-8AC6-4F74-A1C9-2359DF0565CB}"/>
    <cellStyle name="Note 2 2 6 4" xfId="10366" xr:uid="{98C77070-17EF-4533-BE9E-ADD17448B822}"/>
    <cellStyle name="Note 2 2 7" xfId="2248" xr:uid="{00000000-0005-0000-0000-0000E6200000}"/>
    <cellStyle name="Note 2 2 7 2" xfId="4477" xr:uid="{00000000-0005-0000-0000-0000E7200000}"/>
    <cellStyle name="Note 2 2 7 2 2" xfId="8700" xr:uid="{00000000-0005-0000-0000-0000E8200000}"/>
    <cellStyle name="Note 2 2 7 2 2 2" xfId="17142" xr:uid="{9F2FC56A-2363-4339-9F14-D5215A112178}"/>
    <cellStyle name="Note 2 2 7 2 3" xfId="12924" xr:uid="{F85992CD-E587-4184-B1F7-710D3FE730DB}"/>
    <cellStyle name="Note 2 2 7 3" xfId="6555" xr:uid="{00000000-0005-0000-0000-0000E9200000}"/>
    <cellStyle name="Note 2 2 7 3 2" xfId="14997" xr:uid="{6A159E8F-25C9-492E-BD04-952AAAD2C7C4}"/>
    <cellStyle name="Note 2 2 7 4" xfId="10779" xr:uid="{5A81644F-ADC9-4966-8BCB-DA7423214CEA}"/>
    <cellStyle name="Note 2 2 8" xfId="2684" xr:uid="{00000000-0005-0000-0000-0000EA200000}"/>
    <cellStyle name="Note 2 2 8 2" xfId="6968" xr:uid="{00000000-0005-0000-0000-0000EB200000}"/>
    <cellStyle name="Note 2 2 8 2 2" xfId="15410" xr:uid="{51456EB5-6F35-4E28-98D5-6565A3A7E0CC}"/>
    <cellStyle name="Note 2 2 8 3" xfId="11192" xr:uid="{54BDEE1D-3893-4815-A70B-4851AAF01D3F}"/>
    <cellStyle name="Note 2 2 9" xfId="2743" xr:uid="{00000000-0005-0000-0000-0000EC200000}"/>
    <cellStyle name="Note 2 3" xfId="549" xr:uid="{00000000-0005-0000-0000-0000ED200000}"/>
    <cellStyle name="Note 2 3 10" xfId="4907" xr:uid="{00000000-0005-0000-0000-0000EE200000}"/>
    <cellStyle name="Note 2 3 10 2" xfId="13349" xr:uid="{649E3F12-6F34-45E4-842D-13CA30D9C3AE}"/>
    <cellStyle name="Note 2 3 11" xfId="9131" xr:uid="{44B31C7B-ECD4-4C0D-A760-0EEF21C5B0E8}"/>
    <cellStyle name="Note 2 3 2" xfId="550" xr:uid="{00000000-0005-0000-0000-0000EF200000}"/>
    <cellStyle name="Note 2 3 2 10" xfId="9132" xr:uid="{6EDB7B9B-A699-46CA-B68B-85ED90B62A0B}"/>
    <cellStyle name="Note 2 3 2 2" xfId="1011" xr:uid="{00000000-0005-0000-0000-0000F0200000}"/>
    <cellStyle name="Note 2 3 2 2 2" xfId="3243" xr:uid="{00000000-0005-0000-0000-0000F1200000}"/>
    <cellStyle name="Note 2 3 2 2 2 2" xfId="7466" xr:uid="{00000000-0005-0000-0000-0000F2200000}"/>
    <cellStyle name="Note 2 3 2 2 2 2 2" xfId="15908" xr:uid="{473068D2-DC72-47D1-8E7F-3E772C72C3F9}"/>
    <cellStyle name="Note 2 3 2 2 2 3" xfId="11690" xr:uid="{7BEB7AA1-D86D-4FDF-8449-DDF8D5DE3F7C}"/>
    <cellStyle name="Note 2 3 2 2 3" xfId="5321" xr:uid="{00000000-0005-0000-0000-0000F3200000}"/>
    <cellStyle name="Note 2 3 2 2 3 2" xfId="13763" xr:uid="{512F3A59-3CCE-40F1-A295-44E8A2D2F307}"/>
    <cellStyle name="Note 2 3 2 2 4" xfId="9545" xr:uid="{EECAFF03-7728-44EC-BE35-A2B8797E598F}"/>
    <cellStyle name="Note 2 3 2 3" xfId="1426" xr:uid="{00000000-0005-0000-0000-0000F4200000}"/>
    <cellStyle name="Note 2 3 2 3 2" xfId="3656" xr:uid="{00000000-0005-0000-0000-0000F5200000}"/>
    <cellStyle name="Note 2 3 2 3 2 2" xfId="7879" xr:uid="{00000000-0005-0000-0000-0000F6200000}"/>
    <cellStyle name="Note 2 3 2 3 2 2 2" xfId="16321" xr:uid="{30CFD6C3-7BCE-4DA7-8384-9B3BC2CE4E00}"/>
    <cellStyle name="Note 2 3 2 3 2 3" xfId="12103" xr:uid="{E60B6AD2-8AF4-4A0B-B779-4F8A7DDACFBD}"/>
    <cellStyle name="Note 2 3 2 3 3" xfId="5734" xr:uid="{00000000-0005-0000-0000-0000F7200000}"/>
    <cellStyle name="Note 2 3 2 3 3 2" xfId="14176" xr:uid="{776A36F3-FB3D-4A1A-97BF-8ACED04BF0A5}"/>
    <cellStyle name="Note 2 3 2 3 4" xfId="9958" xr:uid="{53EC323F-8198-410D-99D8-A0AE4FBFC542}"/>
    <cellStyle name="Note 2 3 2 4" xfId="1840" xr:uid="{00000000-0005-0000-0000-0000F8200000}"/>
    <cellStyle name="Note 2 3 2 4 2" xfId="4069" xr:uid="{00000000-0005-0000-0000-0000F9200000}"/>
    <cellStyle name="Note 2 3 2 4 2 2" xfId="8292" xr:uid="{00000000-0005-0000-0000-0000FA200000}"/>
    <cellStyle name="Note 2 3 2 4 2 2 2" xfId="16734" xr:uid="{E25BC97C-9C12-41B2-BA03-5C8E7401E8A8}"/>
    <cellStyle name="Note 2 3 2 4 2 3" xfId="12516" xr:uid="{485A6452-A180-4E2E-BD9A-E8777BFA7B36}"/>
    <cellStyle name="Note 2 3 2 4 3" xfId="6147" xr:uid="{00000000-0005-0000-0000-0000FB200000}"/>
    <cellStyle name="Note 2 3 2 4 3 2" xfId="14589" xr:uid="{0D15A5FE-0C7F-4C61-97FA-13A3E0D33A36}"/>
    <cellStyle name="Note 2 3 2 4 4" xfId="10371" xr:uid="{FB3A075D-D0C6-4140-BE73-78C1037367F1}"/>
    <cellStyle name="Note 2 3 2 5" xfId="2253" xr:uid="{00000000-0005-0000-0000-0000FC200000}"/>
    <cellStyle name="Note 2 3 2 5 2" xfId="4482" xr:uid="{00000000-0005-0000-0000-0000FD200000}"/>
    <cellStyle name="Note 2 3 2 5 2 2" xfId="8705" xr:uid="{00000000-0005-0000-0000-0000FE200000}"/>
    <cellStyle name="Note 2 3 2 5 2 2 2" xfId="17147" xr:uid="{CC488FE6-F39E-4B85-8D62-DDF85D80048C}"/>
    <cellStyle name="Note 2 3 2 5 2 3" xfId="12929" xr:uid="{5394CC50-C18D-4137-835D-483ECE2AC2DB}"/>
    <cellStyle name="Note 2 3 2 5 3" xfId="6560" xr:uid="{00000000-0005-0000-0000-0000FF200000}"/>
    <cellStyle name="Note 2 3 2 5 3 2" xfId="15002" xr:uid="{2BC92B42-1D12-4E21-92FB-150C9CC9B327}"/>
    <cellStyle name="Note 2 3 2 5 4" xfId="10784" xr:uid="{42E03EE5-99CE-4612-B4B6-577201C01D9F}"/>
    <cellStyle name="Note 2 3 2 6" xfId="2689" xr:uid="{00000000-0005-0000-0000-000000210000}"/>
    <cellStyle name="Note 2 3 2 6 2" xfId="6973" xr:uid="{00000000-0005-0000-0000-000001210000}"/>
    <cellStyle name="Note 2 3 2 6 2 2" xfId="15415" xr:uid="{CF8A8028-DE46-4C90-8BC1-2082B435F715}"/>
    <cellStyle name="Note 2 3 2 6 3" xfId="11197" xr:uid="{B7543C57-E7F1-4111-A3DD-FD0E0CC3F69B}"/>
    <cellStyle name="Note 2 3 2 7" xfId="2748" xr:uid="{00000000-0005-0000-0000-000002210000}"/>
    <cellStyle name="Note 2 3 2 8" xfId="2829" xr:uid="{00000000-0005-0000-0000-000003210000}"/>
    <cellStyle name="Note 2 3 2 8 2" xfId="7053" xr:uid="{00000000-0005-0000-0000-000004210000}"/>
    <cellStyle name="Note 2 3 2 8 2 2" xfId="15495" xr:uid="{982EDCAC-4155-4BB5-8D23-4251E300F2FC}"/>
    <cellStyle name="Note 2 3 2 8 3" xfId="11277" xr:uid="{E632398C-4D9D-4FFE-BB8C-F5D7BFCA7DC0}"/>
    <cellStyle name="Note 2 3 2 9" xfId="4908" xr:uid="{00000000-0005-0000-0000-000005210000}"/>
    <cellStyle name="Note 2 3 2 9 2" xfId="13350" xr:uid="{F51853DB-9297-428A-B884-E93136B27998}"/>
    <cellStyle name="Note 2 3 3" xfId="1010" xr:uid="{00000000-0005-0000-0000-000006210000}"/>
    <cellStyle name="Note 2 3 3 2" xfId="3242" xr:uid="{00000000-0005-0000-0000-000007210000}"/>
    <cellStyle name="Note 2 3 3 2 2" xfId="7465" xr:uid="{00000000-0005-0000-0000-000008210000}"/>
    <cellStyle name="Note 2 3 3 2 2 2" xfId="15907" xr:uid="{DB5E7D31-C274-47FC-AC4A-B6508A97708D}"/>
    <cellStyle name="Note 2 3 3 2 3" xfId="11689" xr:uid="{8826EEFA-5EEC-46B3-8D52-60CBE18BCDD3}"/>
    <cellStyle name="Note 2 3 3 3" xfId="5320" xr:uid="{00000000-0005-0000-0000-000009210000}"/>
    <cellStyle name="Note 2 3 3 3 2" xfId="13762" xr:uid="{F4166E76-EA0F-4DA6-965E-60E66E7ABD24}"/>
    <cellStyle name="Note 2 3 3 4" xfId="9544" xr:uid="{C706F51A-79C5-404C-BCEA-3C0C46249AA2}"/>
    <cellStyle name="Note 2 3 4" xfId="1425" xr:uid="{00000000-0005-0000-0000-00000A210000}"/>
    <cellStyle name="Note 2 3 4 2" xfId="3655" xr:uid="{00000000-0005-0000-0000-00000B210000}"/>
    <cellStyle name="Note 2 3 4 2 2" xfId="7878" xr:uid="{00000000-0005-0000-0000-00000C210000}"/>
    <cellStyle name="Note 2 3 4 2 2 2" xfId="16320" xr:uid="{09BB8D51-88C0-4759-9D12-07FE5D1E1AD0}"/>
    <cellStyle name="Note 2 3 4 2 3" xfId="12102" xr:uid="{5CAC168E-46B4-4F6A-B1A5-10D5DCB11408}"/>
    <cellStyle name="Note 2 3 4 3" xfId="5733" xr:uid="{00000000-0005-0000-0000-00000D210000}"/>
    <cellStyle name="Note 2 3 4 3 2" xfId="14175" xr:uid="{4C236DBD-25D6-4C72-832E-31A0E016A6DB}"/>
    <cellStyle name="Note 2 3 4 4" xfId="9957" xr:uid="{1120F3D8-1BF7-41B6-8DAB-035596F7C61D}"/>
    <cellStyle name="Note 2 3 5" xfId="1839" xr:uid="{00000000-0005-0000-0000-00000E210000}"/>
    <cellStyle name="Note 2 3 5 2" xfId="4068" xr:uid="{00000000-0005-0000-0000-00000F210000}"/>
    <cellStyle name="Note 2 3 5 2 2" xfId="8291" xr:uid="{00000000-0005-0000-0000-000010210000}"/>
    <cellStyle name="Note 2 3 5 2 2 2" xfId="16733" xr:uid="{F24E6CBB-D286-4373-9B05-79F694FE10A2}"/>
    <cellStyle name="Note 2 3 5 2 3" xfId="12515" xr:uid="{50A97555-D45F-4AF6-A3C4-9E25E7EF1C6B}"/>
    <cellStyle name="Note 2 3 5 3" xfId="6146" xr:uid="{00000000-0005-0000-0000-000011210000}"/>
    <cellStyle name="Note 2 3 5 3 2" xfId="14588" xr:uid="{814EAAFE-9730-49CA-805E-3799CA00238B}"/>
    <cellStyle name="Note 2 3 5 4" xfId="10370" xr:uid="{5903CE2F-8774-4858-A3BE-24B519C46DB4}"/>
    <cellStyle name="Note 2 3 6" xfId="2252" xr:uid="{00000000-0005-0000-0000-000012210000}"/>
    <cellStyle name="Note 2 3 6 2" xfId="4481" xr:uid="{00000000-0005-0000-0000-000013210000}"/>
    <cellStyle name="Note 2 3 6 2 2" xfId="8704" xr:uid="{00000000-0005-0000-0000-000014210000}"/>
    <cellStyle name="Note 2 3 6 2 2 2" xfId="17146" xr:uid="{386A1824-7014-4C04-A950-628B0DC28AB8}"/>
    <cellStyle name="Note 2 3 6 2 3" xfId="12928" xr:uid="{B313B414-91AD-4FA6-8020-82238F1346F3}"/>
    <cellStyle name="Note 2 3 6 3" xfId="6559" xr:uid="{00000000-0005-0000-0000-000015210000}"/>
    <cellStyle name="Note 2 3 6 3 2" xfId="15001" xr:uid="{CCE25C52-5046-4C39-B64E-A353D6A8839E}"/>
    <cellStyle name="Note 2 3 6 4" xfId="10783" xr:uid="{B6DB02E4-FC8C-48C3-AA7F-5C85257CE09F}"/>
    <cellStyle name="Note 2 3 7" xfId="2688" xr:uid="{00000000-0005-0000-0000-000016210000}"/>
    <cellStyle name="Note 2 3 7 2" xfId="6972" xr:uid="{00000000-0005-0000-0000-000017210000}"/>
    <cellStyle name="Note 2 3 7 2 2" xfId="15414" xr:uid="{F6D5A2E0-A6CD-4533-985F-9715502213A9}"/>
    <cellStyle name="Note 2 3 7 3" xfId="11196" xr:uid="{BB76ADA2-606D-4322-8B3F-607D4B5465FC}"/>
    <cellStyle name="Note 2 3 8" xfId="2747" xr:uid="{00000000-0005-0000-0000-000018210000}"/>
    <cellStyle name="Note 2 3 9" xfId="2828" xr:uid="{00000000-0005-0000-0000-000019210000}"/>
    <cellStyle name="Note 2 3 9 2" xfId="7052" xr:uid="{00000000-0005-0000-0000-00001A210000}"/>
    <cellStyle name="Note 2 3 9 2 2" xfId="15494" xr:uid="{EAC22460-22B3-4BB2-8F7B-A279ACD6E3F6}"/>
    <cellStyle name="Note 2 3 9 3" xfId="11276" xr:uid="{B0B4FA60-05BF-480E-9D68-6ADF90F4FAA7}"/>
    <cellStyle name="Note 2 4" xfId="551" xr:uid="{00000000-0005-0000-0000-00001B210000}"/>
    <cellStyle name="Note 2 4 10" xfId="9133" xr:uid="{700BBFCB-1536-48B6-8D35-D3FEABFA0BE1}"/>
    <cellStyle name="Note 2 4 2" xfId="1012" xr:uid="{00000000-0005-0000-0000-00001C210000}"/>
    <cellStyle name="Note 2 4 2 2" xfId="3244" xr:uid="{00000000-0005-0000-0000-00001D210000}"/>
    <cellStyle name="Note 2 4 2 2 2" xfId="7467" xr:uid="{00000000-0005-0000-0000-00001E210000}"/>
    <cellStyle name="Note 2 4 2 2 2 2" xfId="15909" xr:uid="{81D4A54F-A6C8-4CDB-8D5F-9D472F39C4BD}"/>
    <cellStyle name="Note 2 4 2 2 3" xfId="11691" xr:uid="{D0375CAA-937F-49D6-B797-5F759004AC8A}"/>
    <cellStyle name="Note 2 4 2 3" xfId="5322" xr:uid="{00000000-0005-0000-0000-00001F210000}"/>
    <cellStyle name="Note 2 4 2 3 2" xfId="13764" xr:uid="{3E37ADF2-9F56-4C74-85AD-AD4058668E5A}"/>
    <cellStyle name="Note 2 4 2 4" xfId="9546" xr:uid="{E0490691-756F-4F4B-9B48-65D9C82C93A8}"/>
    <cellStyle name="Note 2 4 3" xfId="1427" xr:uid="{00000000-0005-0000-0000-000020210000}"/>
    <cellStyle name="Note 2 4 3 2" xfId="3657" xr:uid="{00000000-0005-0000-0000-000021210000}"/>
    <cellStyle name="Note 2 4 3 2 2" xfId="7880" xr:uid="{00000000-0005-0000-0000-000022210000}"/>
    <cellStyle name="Note 2 4 3 2 2 2" xfId="16322" xr:uid="{759960C8-11B8-47EE-B22F-F186E1800694}"/>
    <cellStyle name="Note 2 4 3 2 3" xfId="12104" xr:uid="{B09E786B-E744-462A-BA82-0ACEFD20939F}"/>
    <cellStyle name="Note 2 4 3 3" xfId="5735" xr:uid="{00000000-0005-0000-0000-000023210000}"/>
    <cellStyle name="Note 2 4 3 3 2" xfId="14177" xr:uid="{447878D1-9A86-4981-8978-E7D96D603CDE}"/>
    <cellStyle name="Note 2 4 3 4" xfId="9959" xr:uid="{D707A14F-786B-41BC-BD87-F71175B85D63}"/>
    <cellStyle name="Note 2 4 4" xfId="1841" xr:uid="{00000000-0005-0000-0000-000024210000}"/>
    <cellStyle name="Note 2 4 4 2" xfId="4070" xr:uid="{00000000-0005-0000-0000-000025210000}"/>
    <cellStyle name="Note 2 4 4 2 2" xfId="8293" xr:uid="{00000000-0005-0000-0000-000026210000}"/>
    <cellStyle name="Note 2 4 4 2 2 2" xfId="16735" xr:uid="{7A9C8401-6597-48B8-966C-91DA1A0083B1}"/>
    <cellStyle name="Note 2 4 4 2 3" xfId="12517" xr:uid="{E39D521E-EFA7-4E44-AA28-E599B9C3E622}"/>
    <cellStyle name="Note 2 4 4 3" xfId="6148" xr:uid="{00000000-0005-0000-0000-000027210000}"/>
    <cellStyle name="Note 2 4 4 3 2" xfId="14590" xr:uid="{C85D6AC5-3D6C-43CC-8C66-D61AA0DDA687}"/>
    <cellStyle name="Note 2 4 4 4" xfId="10372" xr:uid="{341619AB-0762-4664-9F6F-CBAE1EF6EF80}"/>
    <cellStyle name="Note 2 4 5" xfId="2254" xr:uid="{00000000-0005-0000-0000-000028210000}"/>
    <cellStyle name="Note 2 4 5 2" xfId="4483" xr:uid="{00000000-0005-0000-0000-000029210000}"/>
    <cellStyle name="Note 2 4 5 2 2" xfId="8706" xr:uid="{00000000-0005-0000-0000-00002A210000}"/>
    <cellStyle name="Note 2 4 5 2 2 2" xfId="17148" xr:uid="{012BE201-8038-4F48-8B06-EA68A0F30E36}"/>
    <cellStyle name="Note 2 4 5 2 3" xfId="12930" xr:uid="{E559F85D-48F1-4D58-8D77-676487EA61C5}"/>
    <cellStyle name="Note 2 4 5 3" xfId="6561" xr:uid="{00000000-0005-0000-0000-00002B210000}"/>
    <cellStyle name="Note 2 4 5 3 2" xfId="15003" xr:uid="{30387787-46F5-4197-AD56-EEEA3ABCE437}"/>
    <cellStyle name="Note 2 4 5 4" xfId="10785" xr:uid="{7C94802F-EBB3-4A36-9B39-5BD350A46F12}"/>
    <cellStyle name="Note 2 4 6" xfId="2690" xr:uid="{00000000-0005-0000-0000-00002C210000}"/>
    <cellStyle name="Note 2 4 6 2" xfId="6974" xr:uid="{00000000-0005-0000-0000-00002D210000}"/>
    <cellStyle name="Note 2 4 6 2 2" xfId="15416" xr:uid="{32C0C5EC-A104-4B9E-857D-5E75CB2CA917}"/>
    <cellStyle name="Note 2 4 6 3" xfId="11198" xr:uid="{531C8AFE-CC3C-4A71-AA6E-624FF52B7113}"/>
    <cellStyle name="Note 2 4 7" xfId="2749" xr:uid="{00000000-0005-0000-0000-00002E210000}"/>
    <cellStyle name="Note 2 4 8" xfId="2830" xr:uid="{00000000-0005-0000-0000-00002F210000}"/>
    <cellStyle name="Note 2 4 8 2" xfId="7054" xr:uid="{00000000-0005-0000-0000-000030210000}"/>
    <cellStyle name="Note 2 4 8 2 2" xfId="15496" xr:uid="{8195A67D-0285-4FA6-BF33-B6FC74167FD2}"/>
    <cellStyle name="Note 2 4 8 3" xfId="11278" xr:uid="{FFECF778-E3AC-4D22-B505-734E3EC5E5BA}"/>
    <cellStyle name="Note 2 4 9" xfId="4909" xr:uid="{00000000-0005-0000-0000-000031210000}"/>
    <cellStyle name="Note 2 4 9 2" xfId="13351" xr:uid="{28B81F9D-1F7E-4A91-B0CD-B12709B44F07}"/>
    <cellStyle name="Note 2 5" xfId="552" xr:uid="{00000000-0005-0000-0000-000032210000}"/>
    <cellStyle name="Note 2 5 10" xfId="9134" xr:uid="{18ECF582-9D63-4D13-87D1-5C760A970446}"/>
    <cellStyle name="Note 2 5 2" xfId="1013" xr:uid="{00000000-0005-0000-0000-000033210000}"/>
    <cellStyle name="Note 2 5 2 2" xfId="3245" xr:uid="{00000000-0005-0000-0000-000034210000}"/>
    <cellStyle name="Note 2 5 2 2 2" xfId="7468" xr:uid="{00000000-0005-0000-0000-000035210000}"/>
    <cellStyle name="Note 2 5 2 2 2 2" xfId="15910" xr:uid="{27AFCAC4-B6D5-4D7C-AF41-F4C55705C3BF}"/>
    <cellStyle name="Note 2 5 2 2 3" xfId="11692" xr:uid="{11038567-EACF-4032-A739-6BA6EEC847CC}"/>
    <cellStyle name="Note 2 5 2 3" xfId="5323" xr:uid="{00000000-0005-0000-0000-000036210000}"/>
    <cellStyle name="Note 2 5 2 3 2" xfId="13765" xr:uid="{89B477BC-CDEC-4BC9-BA6E-5F5F2FEA2B5D}"/>
    <cellStyle name="Note 2 5 2 4" xfId="9547" xr:uid="{295A7EF8-8FF5-4E45-B37B-4C72D8B0F4B4}"/>
    <cellStyle name="Note 2 5 3" xfId="1428" xr:uid="{00000000-0005-0000-0000-000037210000}"/>
    <cellStyle name="Note 2 5 3 2" xfId="3658" xr:uid="{00000000-0005-0000-0000-000038210000}"/>
    <cellStyle name="Note 2 5 3 2 2" xfId="7881" xr:uid="{00000000-0005-0000-0000-000039210000}"/>
    <cellStyle name="Note 2 5 3 2 2 2" xfId="16323" xr:uid="{AFC1ACC5-3B72-4341-AC9F-27F375C39FCC}"/>
    <cellStyle name="Note 2 5 3 2 3" xfId="12105" xr:uid="{59C2EEB6-EBC6-4715-AE97-FC04E3AFB8B1}"/>
    <cellStyle name="Note 2 5 3 3" xfId="5736" xr:uid="{00000000-0005-0000-0000-00003A210000}"/>
    <cellStyle name="Note 2 5 3 3 2" xfId="14178" xr:uid="{0436707C-DAB1-4DF8-972B-78F8ADCDD8F7}"/>
    <cellStyle name="Note 2 5 3 4" xfId="9960" xr:uid="{0E4B1E3B-584B-4A85-B53C-11065721F79B}"/>
    <cellStyle name="Note 2 5 4" xfId="1842" xr:uid="{00000000-0005-0000-0000-00003B210000}"/>
    <cellStyle name="Note 2 5 4 2" xfId="4071" xr:uid="{00000000-0005-0000-0000-00003C210000}"/>
    <cellStyle name="Note 2 5 4 2 2" xfId="8294" xr:uid="{00000000-0005-0000-0000-00003D210000}"/>
    <cellStyle name="Note 2 5 4 2 2 2" xfId="16736" xr:uid="{AD36C2FD-2419-4EDB-8590-FE1B01BE5ED9}"/>
    <cellStyle name="Note 2 5 4 2 3" xfId="12518" xr:uid="{A9E95BCD-024A-41AF-882C-2D32A3BF66F2}"/>
    <cellStyle name="Note 2 5 4 3" xfId="6149" xr:uid="{00000000-0005-0000-0000-00003E210000}"/>
    <cellStyle name="Note 2 5 4 3 2" xfId="14591" xr:uid="{05C2C767-CDC7-4E61-99E2-BDB725F96C99}"/>
    <cellStyle name="Note 2 5 4 4" xfId="10373" xr:uid="{5F3BCF4F-5FF9-4B29-97E5-F0062DA10546}"/>
    <cellStyle name="Note 2 5 5" xfId="2255" xr:uid="{00000000-0005-0000-0000-00003F210000}"/>
    <cellStyle name="Note 2 5 5 2" xfId="4484" xr:uid="{00000000-0005-0000-0000-000040210000}"/>
    <cellStyle name="Note 2 5 5 2 2" xfId="8707" xr:uid="{00000000-0005-0000-0000-000041210000}"/>
    <cellStyle name="Note 2 5 5 2 2 2" xfId="17149" xr:uid="{3E677E56-9A29-413C-8EDD-ACA838C49CF1}"/>
    <cellStyle name="Note 2 5 5 2 3" xfId="12931" xr:uid="{1F8EF6B5-1ECD-4D6F-8328-8EBF4C284B6B}"/>
    <cellStyle name="Note 2 5 5 3" xfId="6562" xr:uid="{00000000-0005-0000-0000-000042210000}"/>
    <cellStyle name="Note 2 5 5 3 2" xfId="15004" xr:uid="{33E4AB33-CDE6-409E-8DE1-A69A58628205}"/>
    <cellStyle name="Note 2 5 5 4" xfId="10786" xr:uid="{D117CFBA-30C8-44F2-88FA-F06F620D270C}"/>
    <cellStyle name="Note 2 5 6" xfId="2691" xr:uid="{00000000-0005-0000-0000-000043210000}"/>
    <cellStyle name="Note 2 5 6 2" xfId="6975" xr:uid="{00000000-0005-0000-0000-000044210000}"/>
    <cellStyle name="Note 2 5 6 2 2" xfId="15417" xr:uid="{3E91EC08-96EE-43AA-BAA9-28066389CA3A}"/>
    <cellStyle name="Note 2 5 6 3" xfId="11199" xr:uid="{469C0B7F-6840-485D-9328-F6D704E0680B}"/>
    <cellStyle name="Note 2 5 7" xfId="2750" xr:uid="{00000000-0005-0000-0000-000045210000}"/>
    <cellStyle name="Note 2 5 8" xfId="2831" xr:uid="{00000000-0005-0000-0000-000046210000}"/>
    <cellStyle name="Note 2 5 8 2" xfId="7055" xr:uid="{00000000-0005-0000-0000-000047210000}"/>
    <cellStyle name="Note 2 5 8 2 2" xfId="15497" xr:uid="{BB6F89A2-90AF-456C-BEA9-428BF4833372}"/>
    <cellStyle name="Note 2 5 8 3" xfId="11279" xr:uid="{169D8215-B1CA-4D60-ADA0-5ED27575367E}"/>
    <cellStyle name="Note 2 5 9" xfId="4910" xr:uid="{00000000-0005-0000-0000-000048210000}"/>
    <cellStyle name="Note 2 5 9 2" xfId="13352" xr:uid="{E703233F-801F-43CC-9735-53AC8923A033}"/>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EE4EBCC8-A19D-42D4-9584-53E190FB8AE6}"/>
    <cellStyle name="Note 3 2 10 3" xfId="11280" xr:uid="{892317CA-04FF-4EF0-B7DC-371F0B8951F3}"/>
    <cellStyle name="Note 3 2 11" xfId="4911" xr:uid="{00000000-0005-0000-0000-00004D210000}"/>
    <cellStyle name="Note 3 2 11 2" xfId="13353" xr:uid="{4B3F2931-B7A9-4962-81DA-F87D05F4024A}"/>
    <cellStyle name="Note 3 2 12" xfId="9135" xr:uid="{FBA0A4B8-4369-41AD-BC50-26E88C779361}"/>
    <cellStyle name="Note 3 2 2" xfId="555" xr:uid="{00000000-0005-0000-0000-00004E210000}"/>
    <cellStyle name="Note 3 2 2 10" xfId="4912" xr:uid="{00000000-0005-0000-0000-00004F210000}"/>
    <cellStyle name="Note 3 2 2 10 2" xfId="13354" xr:uid="{7C87E910-6AE3-4D65-9733-1587A0A57E26}"/>
    <cellStyle name="Note 3 2 2 11" xfId="9136" xr:uid="{22C2C25F-2E7A-4F3C-A3B8-B644785EF86E}"/>
    <cellStyle name="Note 3 2 2 2" xfId="556" xr:uid="{00000000-0005-0000-0000-000050210000}"/>
    <cellStyle name="Note 3 2 2 2 10" xfId="9137" xr:uid="{4CD04D54-738E-4E0D-969E-C4DA325B50FA}"/>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3DD5F6B6-4708-4E88-985F-E9E64F72919C}"/>
    <cellStyle name="Note 3 2 2 2 2 2 3" xfId="11695" xr:uid="{3954077D-BF10-4FE2-A020-0945A150A351}"/>
    <cellStyle name="Note 3 2 2 2 2 3" xfId="5326" xr:uid="{00000000-0005-0000-0000-000054210000}"/>
    <cellStyle name="Note 3 2 2 2 2 3 2" xfId="13768" xr:uid="{7A9CE5F5-52E9-49E7-8E0E-286917A03358}"/>
    <cellStyle name="Note 3 2 2 2 2 4" xfId="9550" xr:uid="{716E25D8-368B-487A-8564-85033EFEE14E}"/>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25789DC8-968D-4430-B722-224950C4B4F8}"/>
    <cellStyle name="Note 3 2 2 2 3 2 3" xfId="12108" xr:uid="{27D598A8-90EC-4AF6-B1A3-04F78D4F585B}"/>
    <cellStyle name="Note 3 2 2 2 3 3" xfId="5739" xr:uid="{00000000-0005-0000-0000-000058210000}"/>
    <cellStyle name="Note 3 2 2 2 3 3 2" xfId="14181" xr:uid="{9E61EE90-E7E5-43B3-9F9E-C543A6C6A65B}"/>
    <cellStyle name="Note 3 2 2 2 3 4" xfId="9963" xr:uid="{8B3820D3-C249-4F5E-B806-1F47837A2158}"/>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81C71B99-0907-42DA-ACAD-863A609B1052}"/>
    <cellStyle name="Note 3 2 2 2 4 2 3" xfId="12521" xr:uid="{2BFB8863-E87B-4B5E-AC25-2D4C43AD2C92}"/>
    <cellStyle name="Note 3 2 2 2 4 3" xfId="6152" xr:uid="{00000000-0005-0000-0000-00005C210000}"/>
    <cellStyle name="Note 3 2 2 2 4 3 2" xfId="14594" xr:uid="{C6EB37ED-6AAC-41BA-9D5B-30330AD46971}"/>
    <cellStyle name="Note 3 2 2 2 4 4" xfId="10376" xr:uid="{137D576B-93D9-459D-B6E1-0750B57BB234}"/>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69378715-A6BF-449D-A05D-C36033A56E5B}"/>
    <cellStyle name="Note 3 2 2 2 5 2 3" xfId="12934" xr:uid="{4D38173A-EE72-4702-ACEA-D8351A6C3D79}"/>
    <cellStyle name="Note 3 2 2 2 5 3" xfId="6565" xr:uid="{00000000-0005-0000-0000-000060210000}"/>
    <cellStyle name="Note 3 2 2 2 5 3 2" xfId="15007" xr:uid="{266ABB0C-F0CE-4EAF-B12D-5CBCE323D07B}"/>
    <cellStyle name="Note 3 2 2 2 5 4" xfId="10789" xr:uid="{012F672C-4ACA-4C02-BBC4-4D9A9C84B424}"/>
    <cellStyle name="Note 3 2 2 2 6" xfId="2694" xr:uid="{00000000-0005-0000-0000-000061210000}"/>
    <cellStyle name="Note 3 2 2 2 6 2" xfId="6978" xr:uid="{00000000-0005-0000-0000-000062210000}"/>
    <cellStyle name="Note 3 2 2 2 6 2 2" xfId="15420" xr:uid="{613F9587-B860-4B4E-A883-2E0414DEFA8B}"/>
    <cellStyle name="Note 3 2 2 2 6 3" xfId="11202" xr:uid="{E59DA940-98C6-4F06-B3FE-9665309E586C}"/>
    <cellStyle name="Note 3 2 2 2 7" xfId="2753" xr:uid="{00000000-0005-0000-0000-000063210000}"/>
    <cellStyle name="Note 3 2 2 2 8" xfId="2834" xr:uid="{00000000-0005-0000-0000-000064210000}"/>
    <cellStyle name="Note 3 2 2 2 8 2" xfId="7058" xr:uid="{00000000-0005-0000-0000-000065210000}"/>
    <cellStyle name="Note 3 2 2 2 8 2 2" xfId="15500" xr:uid="{50753914-330D-45BB-A523-C32D6FC316C7}"/>
    <cellStyle name="Note 3 2 2 2 8 3" xfId="11282" xr:uid="{31E56861-0E69-4F2A-9752-1FD5366FDDF4}"/>
    <cellStyle name="Note 3 2 2 2 9" xfId="4913" xr:uid="{00000000-0005-0000-0000-000066210000}"/>
    <cellStyle name="Note 3 2 2 2 9 2" xfId="13355" xr:uid="{782637BD-7563-45FE-AAE0-775F15B19A8B}"/>
    <cellStyle name="Note 3 2 2 3" xfId="1015" xr:uid="{00000000-0005-0000-0000-000067210000}"/>
    <cellStyle name="Note 3 2 2 3 2" xfId="3247" xr:uid="{00000000-0005-0000-0000-000068210000}"/>
    <cellStyle name="Note 3 2 2 3 2 2" xfId="7470" xr:uid="{00000000-0005-0000-0000-000069210000}"/>
    <cellStyle name="Note 3 2 2 3 2 2 2" xfId="15912" xr:uid="{E8D36926-33EE-4B33-8F74-97E10B937CBF}"/>
    <cellStyle name="Note 3 2 2 3 2 3" xfId="11694" xr:uid="{83451A87-933C-4CD8-BCC2-2FB526D141F5}"/>
    <cellStyle name="Note 3 2 2 3 3" xfId="5325" xr:uid="{00000000-0005-0000-0000-00006A210000}"/>
    <cellStyle name="Note 3 2 2 3 3 2" xfId="13767" xr:uid="{2ED2D9A5-F389-48C8-997A-EB7E41F56DB9}"/>
    <cellStyle name="Note 3 2 2 3 4" xfId="9549" xr:uid="{C07CC851-1252-4282-9C79-B6987A8248A2}"/>
    <cellStyle name="Note 3 2 2 4" xfId="1430" xr:uid="{00000000-0005-0000-0000-00006B210000}"/>
    <cellStyle name="Note 3 2 2 4 2" xfId="3660" xr:uid="{00000000-0005-0000-0000-00006C210000}"/>
    <cellStyle name="Note 3 2 2 4 2 2" xfId="7883" xr:uid="{00000000-0005-0000-0000-00006D210000}"/>
    <cellStyle name="Note 3 2 2 4 2 2 2" xfId="16325" xr:uid="{F7B9F224-432F-41FB-AD56-9858979E1F55}"/>
    <cellStyle name="Note 3 2 2 4 2 3" xfId="12107" xr:uid="{76EACC76-FB88-4FFE-922F-36DDF9C5664A}"/>
    <cellStyle name="Note 3 2 2 4 3" xfId="5738" xr:uid="{00000000-0005-0000-0000-00006E210000}"/>
    <cellStyle name="Note 3 2 2 4 3 2" xfId="14180" xr:uid="{B29628DC-4637-42D8-ADB4-D3AF11EDCA92}"/>
    <cellStyle name="Note 3 2 2 4 4" xfId="9962" xr:uid="{37C2FF9F-4A39-415A-AA8C-BA0D14D81051}"/>
    <cellStyle name="Note 3 2 2 5" xfId="1844" xr:uid="{00000000-0005-0000-0000-00006F210000}"/>
    <cellStyle name="Note 3 2 2 5 2" xfId="4073" xr:uid="{00000000-0005-0000-0000-000070210000}"/>
    <cellStyle name="Note 3 2 2 5 2 2" xfId="8296" xr:uid="{00000000-0005-0000-0000-000071210000}"/>
    <cellStyle name="Note 3 2 2 5 2 2 2" xfId="16738" xr:uid="{124B4952-B94A-4905-A3F1-2F8BDA69B33F}"/>
    <cellStyle name="Note 3 2 2 5 2 3" xfId="12520" xr:uid="{2F5454A3-91D3-47A9-95FE-920394A8EB13}"/>
    <cellStyle name="Note 3 2 2 5 3" xfId="6151" xr:uid="{00000000-0005-0000-0000-000072210000}"/>
    <cellStyle name="Note 3 2 2 5 3 2" xfId="14593" xr:uid="{1E47D314-0330-420B-83F9-61AEE68417B6}"/>
    <cellStyle name="Note 3 2 2 5 4" xfId="10375" xr:uid="{34D468C4-08E0-409A-AAEB-E8B939313534}"/>
    <cellStyle name="Note 3 2 2 6" xfId="2257" xr:uid="{00000000-0005-0000-0000-000073210000}"/>
    <cellStyle name="Note 3 2 2 6 2" xfId="4486" xr:uid="{00000000-0005-0000-0000-000074210000}"/>
    <cellStyle name="Note 3 2 2 6 2 2" xfId="8709" xr:uid="{00000000-0005-0000-0000-000075210000}"/>
    <cellStyle name="Note 3 2 2 6 2 2 2" xfId="17151" xr:uid="{4AFF4B01-9C45-419C-8C19-7FAF77A28350}"/>
    <cellStyle name="Note 3 2 2 6 2 3" xfId="12933" xr:uid="{3F1C6BD0-7BFD-4417-9E7E-0B6FD8E3CF75}"/>
    <cellStyle name="Note 3 2 2 6 3" xfId="6564" xr:uid="{00000000-0005-0000-0000-000076210000}"/>
    <cellStyle name="Note 3 2 2 6 3 2" xfId="15006" xr:uid="{E5C3E946-AD1E-4EA3-BABC-7E9DA037628A}"/>
    <cellStyle name="Note 3 2 2 6 4" xfId="10788" xr:uid="{3B7C7190-7DD3-4347-ABCA-B4FDF67E9E4A}"/>
    <cellStyle name="Note 3 2 2 7" xfId="2693" xr:uid="{00000000-0005-0000-0000-000077210000}"/>
    <cellStyle name="Note 3 2 2 7 2" xfId="6977" xr:uid="{00000000-0005-0000-0000-000078210000}"/>
    <cellStyle name="Note 3 2 2 7 2 2" xfId="15419" xr:uid="{F55F2A2C-3AC8-4992-B429-E71CC9AFE1D8}"/>
    <cellStyle name="Note 3 2 2 7 3" xfId="11201" xr:uid="{4AF706AF-9423-4241-9919-3AF39386F82E}"/>
    <cellStyle name="Note 3 2 2 8" xfId="2752" xr:uid="{00000000-0005-0000-0000-000079210000}"/>
    <cellStyle name="Note 3 2 2 9" xfId="2833" xr:uid="{00000000-0005-0000-0000-00007A210000}"/>
    <cellStyle name="Note 3 2 2 9 2" xfId="7057" xr:uid="{00000000-0005-0000-0000-00007B210000}"/>
    <cellStyle name="Note 3 2 2 9 2 2" xfId="15499" xr:uid="{A301E6D9-AD4F-4351-A3EB-8306D970253A}"/>
    <cellStyle name="Note 3 2 2 9 3" xfId="11281" xr:uid="{50A880EB-7EC4-47F0-8478-0E2AB7D97857}"/>
    <cellStyle name="Note 3 2 3" xfId="557" xr:uid="{00000000-0005-0000-0000-00007C210000}"/>
    <cellStyle name="Note 3 2 3 10" xfId="9138" xr:uid="{AE097BB2-EADD-4044-8909-8F4977A3708D}"/>
    <cellStyle name="Note 3 2 3 2" xfId="1017" xr:uid="{00000000-0005-0000-0000-00007D210000}"/>
    <cellStyle name="Note 3 2 3 2 2" xfId="3249" xr:uid="{00000000-0005-0000-0000-00007E210000}"/>
    <cellStyle name="Note 3 2 3 2 2 2" xfId="7472" xr:uid="{00000000-0005-0000-0000-00007F210000}"/>
    <cellStyle name="Note 3 2 3 2 2 2 2" xfId="15914" xr:uid="{48127E3D-0E0F-48A3-8EBC-E65FDAC67679}"/>
    <cellStyle name="Note 3 2 3 2 2 3" xfId="11696" xr:uid="{B5EA27E1-3261-45DD-B962-134496D39E5A}"/>
    <cellStyle name="Note 3 2 3 2 3" xfId="5327" xr:uid="{00000000-0005-0000-0000-000080210000}"/>
    <cellStyle name="Note 3 2 3 2 3 2" xfId="13769" xr:uid="{86C2A953-2402-4906-AF33-1430724EA051}"/>
    <cellStyle name="Note 3 2 3 2 4" xfId="9551" xr:uid="{0EA6294E-3A6E-4F06-A935-DE6FCE2D9EC7}"/>
    <cellStyle name="Note 3 2 3 3" xfId="1432" xr:uid="{00000000-0005-0000-0000-000081210000}"/>
    <cellStyle name="Note 3 2 3 3 2" xfId="3662" xr:uid="{00000000-0005-0000-0000-000082210000}"/>
    <cellStyle name="Note 3 2 3 3 2 2" xfId="7885" xr:uid="{00000000-0005-0000-0000-000083210000}"/>
    <cellStyle name="Note 3 2 3 3 2 2 2" xfId="16327" xr:uid="{011D9407-19E4-4F3B-B5DB-7D23810254EF}"/>
    <cellStyle name="Note 3 2 3 3 2 3" xfId="12109" xr:uid="{CE07E7A3-4B09-4501-AE5D-886296A281BD}"/>
    <cellStyle name="Note 3 2 3 3 3" xfId="5740" xr:uid="{00000000-0005-0000-0000-000084210000}"/>
    <cellStyle name="Note 3 2 3 3 3 2" xfId="14182" xr:uid="{D2777E7C-688E-4FCC-BF91-0760789A393E}"/>
    <cellStyle name="Note 3 2 3 3 4" xfId="9964" xr:uid="{DEC0C307-D5E7-449A-80AB-B955E43E19B3}"/>
    <cellStyle name="Note 3 2 3 4" xfId="1846" xr:uid="{00000000-0005-0000-0000-000085210000}"/>
    <cellStyle name="Note 3 2 3 4 2" xfId="4075" xr:uid="{00000000-0005-0000-0000-000086210000}"/>
    <cellStyle name="Note 3 2 3 4 2 2" xfId="8298" xr:uid="{00000000-0005-0000-0000-000087210000}"/>
    <cellStyle name="Note 3 2 3 4 2 2 2" xfId="16740" xr:uid="{EEE4676A-9E11-4CD3-B30C-320D59C1FC1F}"/>
    <cellStyle name="Note 3 2 3 4 2 3" xfId="12522" xr:uid="{8B9294CA-27AC-4D3E-ACC9-59CA3372431B}"/>
    <cellStyle name="Note 3 2 3 4 3" xfId="6153" xr:uid="{00000000-0005-0000-0000-000088210000}"/>
    <cellStyle name="Note 3 2 3 4 3 2" xfId="14595" xr:uid="{3928FBBD-56E5-42A8-A0DD-1A3C2495E8C9}"/>
    <cellStyle name="Note 3 2 3 4 4" xfId="10377" xr:uid="{F13BE125-8C20-48C0-A77C-5512B66DE241}"/>
    <cellStyle name="Note 3 2 3 5" xfId="2259" xr:uid="{00000000-0005-0000-0000-000089210000}"/>
    <cellStyle name="Note 3 2 3 5 2" xfId="4488" xr:uid="{00000000-0005-0000-0000-00008A210000}"/>
    <cellStyle name="Note 3 2 3 5 2 2" xfId="8711" xr:uid="{00000000-0005-0000-0000-00008B210000}"/>
    <cellStyle name="Note 3 2 3 5 2 2 2" xfId="17153" xr:uid="{1898549E-2B41-4550-8C62-7F2DB4FA8505}"/>
    <cellStyle name="Note 3 2 3 5 2 3" xfId="12935" xr:uid="{82BA0DFA-278B-4FA6-8C91-FDD6C6EF418C}"/>
    <cellStyle name="Note 3 2 3 5 3" xfId="6566" xr:uid="{00000000-0005-0000-0000-00008C210000}"/>
    <cellStyle name="Note 3 2 3 5 3 2" xfId="15008" xr:uid="{DBFA6E3B-EAD5-4239-9F44-3455F85229A7}"/>
    <cellStyle name="Note 3 2 3 5 4" xfId="10790" xr:uid="{0C43CD24-DCC2-4F9F-A285-0273145DE4FD}"/>
    <cellStyle name="Note 3 2 3 6" xfId="2695" xr:uid="{00000000-0005-0000-0000-00008D210000}"/>
    <cellStyle name="Note 3 2 3 6 2" xfId="6979" xr:uid="{00000000-0005-0000-0000-00008E210000}"/>
    <cellStyle name="Note 3 2 3 6 2 2" xfId="15421" xr:uid="{748B48B8-E602-4F66-97AE-6619F3FFBCC0}"/>
    <cellStyle name="Note 3 2 3 6 3" xfId="11203" xr:uid="{D5E47525-5B46-4DD8-9BB5-CA5CE11583CB}"/>
    <cellStyle name="Note 3 2 3 7" xfId="2754" xr:uid="{00000000-0005-0000-0000-00008F210000}"/>
    <cellStyle name="Note 3 2 3 8" xfId="2835" xr:uid="{00000000-0005-0000-0000-000090210000}"/>
    <cellStyle name="Note 3 2 3 8 2" xfId="7059" xr:uid="{00000000-0005-0000-0000-000091210000}"/>
    <cellStyle name="Note 3 2 3 8 2 2" xfId="15501" xr:uid="{D9F445E3-47E7-408A-8F4E-D9C1069019C4}"/>
    <cellStyle name="Note 3 2 3 8 3" xfId="11283" xr:uid="{D08A2FB5-3608-429F-BAC4-91109338AF3B}"/>
    <cellStyle name="Note 3 2 3 9" xfId="4914" xr:uid="{00000000-0005-0000-0000-000092210000}"/>
    <cellStyle name="Note 3 2 3 9 2" xfId="13356" xr:uid="{FE4616D5-6085-4021-9994-478FC468765B}"/>
    <cellStyle name="Note 3 2 4" xfId="1014" xr:uid="{00000000-0005-0000-0000-000093210000}"/>
    <cellStyle name="Note 3 2 4 2" xfId="3246" xr:uid="{00000000-0005-0000-0000-000094210000}"/>
    <cellStyle name="Note 3 2 4 2 2" xfId="7469" xr:uid="{00000000-0005-0000-0000-000095210000}"/>
    <cellStyle name="Note 3 2 4 2 2 2" xfId="15911" xr:uid="{D7FD9DCF-EE10-4D41-86E8-01C04DA89967}"/>
    <cellStyle name="Note 3 2 4 2 3" xfId="11693" xr:uid="{3264DB29-ED3B-4A14-8854-2DB7CE8EF354}"/>
    <cellStyle name="Note 3 2 4 3" xfId="5324" xr:uid="{00000000-0005-0000-0000-000096210000}"/>
    <cellStyle name="Note 3 2 4 3 2" xfId="13766" xr:uid="{97A3FB5F-96D1-45F0-A0BB-61C7EA3CBBD2}"/>
    <cellStyle name="Note 3 2 4 4" xfId="9548" xr:uid="{772AB4F4-9AC8-49C4-B405-655D39DF4A70}"/>
    <cellStyle name="Note 3 2 5" xfId="1429" xr:uid="{00000000-0005-0000-0000-000097210000}"/>
    <cellStyle name="Note 3 2 5 2" xfId="3659" xr:uid="{00000000-0005-0000-0000-000098210000}"/>
    <cellStyle name="Note 3 2 5 2 2" xfId="7882" xr:uid="{00000000-0005-0000-0000-000099210000}"/>
    <cellStyle name="Note 3 2 5 2 2 2" xfId="16324" xr:uid="{E8EDBE59-76C4-430A-8064-BB0D18B0EF6F}"/>
    <cellStyle name="Note 3 2 5 2 3" xfId="12106" xr:uid="{0A67D00D-D45C-4797-9984-E28230909530}"/>
    <cellStyle name="Note 3 2 5 3" xfId="5737" xr:uid="{00000000-0005-0000-0000-00009A210000}"/>
    <cellStyle name="Note 3 2 5 3 2" xfId="14179" xr:uid="{C4C565DE-9464-458F-B3BA-BE342EB2CF5E}"/>
    <cellStyle name="Note 3 2 5 4" xfId="9961" xr:uid="{A90CE0AB-727C-4B70-BCFE-5BD3410165D5}"/>
    <cellStyle name="Note 3 2 6" xfId="1843" xr:uid="{00000000-0005-0000-0000-00009B210000}"/>
    <cellStyle name="Note 3 2 6 2" xfId="4072" xr:uid="{00000000-0005-0000-0000-00009C210000}"/>
    <cellStyle name="Note 3 2 6 2 2" xfId="8295" xr:uid="{00000000-0005-0000-0000-00009D210000}"/>
    <cellStyle name="Note 3 2 6 2 2 2" xfId="16737" xr:uid="{E8020A91-9F7A-4D38-AD6D-8F229C69267D}"/>
    <cellStyle name="Note 3 2 6 2 3" xfId="12519" xr:uid="{47576529-E420-44C4-B0A6-4103B8AA61A7}"/>
    <cellStyle name="Note 3 2 6 3" xfId="6150" xr:uid="{00000000-0005-0000-0000-00009E210000}"/>
    <cellStyle name="Note 3 2 6 3 2" xfId="14592" xr:uid="{2C970297-DFB3-45AB-BD26-88C56022F69F}"/>
    <cellStyle name="Note 3 2 6 4" xfId="10374" xr:uid="{59964D97-989D-4864-B93C-B102B74DAC5A}"/>
    <cellStyle name="Note 3 2 7" xfId="2256" xr:uid="{00000000-0005-0000-0000-00009F210000}"/>
    <cellStyle name="Note 3 2 7 2" xfId="4485" xr:uid="{00000000-0005-0000-0000-0000A0210000}"/>
    <cellStyle name="Note 3 2 7 2 2" xfId="8708" xr:uid="{00000000-0005-0000-0000-0000A1210000}"/>
    <cellStyle name="Note 3 2 7 2 2 2" xfId="17150" xr:uid="{A71F8E15-7CDC-428D-A8A6-611417883AC7}"/>
    <cellStyle name="Note 3 2 7 2 3" xfId="12932" xr:uid="{0A592A60-0C6C-4E89-AEE4-50092ED319D6}"/>
    <cellStyle name="Note 3 2 7 3" xfId="6563" xr:uid="{00000000-0005-0000-0000-0000A2210000}"/>
    <cellStyle name="Note 3 2 7 3 2" xfId="15005" xr:uid="{631C1240-22F5-49FF-B245-56168FF49779}"/>
    <cellStyle name="Note 3 2 7 4" xfId="10787" xr:uid="{C5F055A4-3E53-4F2E-9DDC-D26104FCF600}"/>
    <cellStyle name="Note 3 2 8" xfId="2692" xr:uid="{00000000-0005-0000-0000-0000A3210000}"/>
    <cellStyle name="Note 3 2 8 2" xfId="6976" xr:uid="{00000000-0005-0000-0000-0000A4210000}"/>
    <cellStyle name="Note 3 2 8 2 2" xfId="15418" xr:uid="{097372CA-0786-4E53-BC4B-B9D60FBC2E81}"/>
    <cellStyle name="Note 3 2 8 3" xfId="11200" xr:uid="{CB3D2D9E-6FE2-46D5-91D4-CBD8E76FFFBE}"/>
    <cellStyle name="Note 3 2 9" xfId="2751" xr:uid="{00000000-0005-0000-0000-0000A5210000}"/>
    <cellStyle name="Note 3 3" xfId="558" xr:uid="{00000000-0005-0000-0000-0000A6210000}"/>
    <cellStyle name="Note 3 3 10" xfId="4915" xr:uid="{00000000-0005-0000-0000-0000A7210000}"/>
    <cellStyle name="Note 3 3 10 2" xfId="13357" xr:uid="{F3DBA7B8-BA4B-4B8B-8D5E-A25ADDDF899F}"/>
    <cellStyle name="Note 3 3 11" xfId="9139" xr:uid="{0096ED99-95BB-4330-900B-19498E935334}"/>
    <cellStyle name="Note 3 3 2" xfId="559" xr:uid="{00000000-0005-0000-0000-0000A8210000}"/>
    <cellStyle name="Note 3 3 2 10" xfId="9140" xr:uid="{AC86E5B6-8E92-4C09-BDF4-D8BC2534EEC6}"/>
    <cellStyle name="Note 3 3 2 2" xfId="1019" xr:uid="{00000000-0005-0000-0000-0000A9210000}"/>
    <cellStyle name="Note 3 3 2 2 2" xfId="3251" xr:uid="{00000000-0005-0000-0000-0000AA210000}"/>
    <cellStyle name="Note 3 3 2 2 2 2" xfId="7474" xr:uid="{00000000-0005-0000-0000-0000AB210000}"/>
    <cellStyle name="Note 3 3 2 2 2 2 2" xfId="15916" xr:uid="{DAE7AC2E-AA49-4905-AA61-F06AA2553191}"/>
    <cellStyle name="Note 3 3 2 2 2 3" xfId="11698" xr:uid="{3BB28E20-B0BF-4A56-A697-5AD452783745}"/>
    <cellStyle name="Note 3 3 2 2 3" xfId="5329" xr:uid="{00000000-0005-0000-0000-0000AC210000}"/>
    <cellStyle name="Note 3 3 2 2 3 2" xfId="13771" xr:uid="{C990872C-C63B-4587-A0FD-A52203AA2D4F}"/>
    <cellStyle name="Note 3 3 2 2 4" xfId="9553" xr:uid="{CCCF4E12-C605-4F55-87B7-F052B71E0B94}"/>
    <cellStyle name="Note 3 3 2 3" xfId="1434" xr:uid="{00000000-0005-0000-0000-0000AD210000}"/>
    <cellStyle name="Note 3 3 2 3 2" xfId="3664" xr:uid="{00000000-0005-0000-0000-0000AE210000}"/>
    <cellStyle name="Note 3 3 2 3 2 2" xfId="7887" xr:uid="{00000000-0005-0000-0000-0000AF210000}"/>
    <cellStyle name="Note 3 3 2 3 2 2 2" xfId="16329" xr:uid="{BF468E2E-B1EB-4BBE-BF58-D8330ACDD77E}"/>
    <cellStyle name="Note 3 3 2 3 2 3" xfId="12111" xr:uid="{8AC552B8-3B46-47C3-8B30-38AF825B8B41}"/>
    <cellStyle name="Note 3 3 2 3 3" xfId="5742" xr:uid="{00000000-0005-0000-0000-0000B0210000}"/>
    <cellStyle name="Note 3 3 2 3 3 2" xfId="14184" xr:uid="{2A17A617-6E06-44E8-8881-4C4009D6021C}"/>
    <cellStyle name="Note 3 3 2 3 4" xfId="9966" xr:uid="{06D3485F-9000-4115-B3F6-B2E97D067CFE}"/>
    <cellStyle name="Note 3 3 2 4" xfId="1848" xr:uid="{00000000-0005-0000-0000-0000B1210000}"/>
    <cellStyle name="Note 3 3 2 4 2" xfId="4077" xr:uid="{00000000-0005-0000-0000-0000B2210000}"/>
    <cellStyle name="Note 3 3 2 4 2 2" xfId="8300" xr:uid="{00000000-0005-0000-0000-0000B3210000}"/>
    <cellStyle name="Note 3 3 2 4 2 2 2" xfId="16742" xr:uid="{F921D12D-2A32-4237-A078-A9CD566489F7}"/>
    <cellStyle name="Note 3 3 2 4 2 3" xfId="12524" xr:uid="{FC2DC3D0-E6D3-4D75-B032-D646499FA333}"/>
    <cellStyle name="Note 3 3 2 4 3" xfId="6155" xr:uid="{00000000-0005-0000-0000-0000B4210000}"/>
    <cellStyle name="Note 3 3 2 4 3 2" xfId="14597" xr:uid="{49E6EA51-CD7A-451C-90C4-2C680D1309A0}"/>
    <cellStyle name="Note 3 3 2 4 4" xfId="10379" xr:uid="{B66B8C73-7554-4A75-8EB9-292019E177E4}"/>
    <cellStyle name="Note 3 3 2 5" xfId="2261" xr:uid="{00000000-0005-0000-0000-0000B5210000}"/>
    <cellStyle name="Note 3 3 2 5 2" xfId="4490" xr:uid="{00000000-0005-0000-0000-0000B6210000}"/>
    <cellStyle name="Note 3 3 2 5 2 2" xfId="8713" xr:uid="{00000000-0005-0000-0000-0000B7210000}"/>
    <cellStyle name="Note 3 3 2 5 2 2 2" xfId="17155" xr:uid="{7EC5C8E0-E375-4F51-B413-18C9663B138D}"/>
    <cellStyle name="Note 3 3 2 5 2 3" xfId="12937" xr:uid="{1761A074-4BB9-46DC-AFA1-A6C34686C33E}"/>
    <cellStyle name="Note 3 3 2 5 3" xfId="6568" xr:uid="{00000000-0005-0000-0000-0000B8210000}"/>
    <cellStyle name="Note 3 3 2 5 3 2" xfId="15010" xr:uid="{4F155060-83CE-4323-AFDF-EBDD6D7AAB8D}"/>
    <cellStyle name="Note 3 3 2 5 4" xfId="10792" xr:uid="{17E26155-8DCF-4F39-81F5-45C6D50487FE}"/>
    <cellStyle name="Note 3 3 2 6" xfId="2697" xr:uid="{00000000-0005-0000-0000-0000B9210000}"/>
    <cellStyle name="Note 3 3 2 6 2" xfId="6981" xr:uid="{00000000-0005-0000-0000-0000BA210000}"/>
    <cellStyle name="Note 3 3 2 6 2 2" xfId="15423" xr:uid="{35B3659A-40E6-471A-B26A-1E603693B048}"/>
    <cellStyle name="Note 3 3 2 6 3" xfId="11205" xr:uid="{07A8E125-B835-4B4B-9660-53889A566072}"/>
    <cellStyle name="Note 3 3 2 7" xfId="2756" xr:uid="{00000000-0005-0000-0000-0000BB210000}"/>
    <cellStyle name="Note 3 3 2 8" xfId="2837" xr:uid="{00000000-0005-0000-0000-0000BC210000}"/>
    <cellStyle name="Note 3 3 2 8 2" xfId="7061" xr:uid="{00000000-0005-0000-0000-0000BD210000}"/>
    <cellStyle name="Note 3 3 2 8 2 2" xfId="15503" xr:uid="{7337AA1C-2E1E-4B4E-BD8B-97152349CF5C}"/>
    <cellStyle name="Note 3 3 2 8 3" xfId="11285" xr:uid="{40F0F1CA-BBCF-4D7E-A867-B722D0CB1F28}"/>
    <cellStyle name="Note 3 3 2 9" xfId="4916" xr:uid="{00000000-0005-0000-0000-0000BE210000}"/>
    <cellStyle name="Note 3 3 2 9 2" xfId="13358" xr:uid="{1EFA935E-FA58-4FDD-8374-DEFBBEAAD6A0}"/>
    <cellStyle name="Note 3 3 3" xfId="1018" xr:uid="{00000000-0005-0000-0000-0000BF210000}"/>
    <cellStyle name="Note 3 3 3 2" xfId="3250" xr:uid="{00000000-0005-0000-0000-0000C0210000}"/>
    <cellStyle name="Note 3 3 3 2 2" xfId="7473" xr:uid="{00000000-0005-0000-0000-0000C1210000}"/>
    <cellStyle name="Note 3 3 3 2 2 2" xfId="15915" xr:uid="{294E62BF-9228-4440-B08B-EC595D55705F}"/>
    <cellStyle name="Note 3 3 3 2 3" xfId="11697" xr:uid="{63DA7DB9-AF31-4224-B52F-DCE1B40C5D5D}"/>
    <cellStyle name="Note 3 3 3 3" xfId="5328" xr:uid="{00000000-0005-0000-0000-0000C2210000}"/>
    <cellStyle name="Note 3 3 3 3 2" xfId="13770" xr:uid="{293A7624-3A7F-42D7-93DF-75C9F1159799}"/>
    <cellStyle name="Note 3 3 3 4" xfId="9552" xr:uid="{95453D33-8A42-4013-BBE7-0B1A7F8E980D}"/>
    <cellStyle name="Note 3 3 4" xfId="1433" xr:uid="{00000000-0005-0000-0000-0000C3210000}"/>
    <cellStyle name="Note 3 3 4 2" xfId="3663" xr:uid="{00000000-0005-0000-0000-0000C4210000}"/>
    <cellStyle name="Note 3 3 4 2 2" xfId="7886" xr:uid="{00000000-0005-0000-0000-0000C5210000}"/>
    <cellStyle name="Note 3 3 4 2 2 2" xfId="16328" xr:uid="{C8253621-6696-48C5-A8FF-C5BCC516A20D}"/>
    <cellStyle name="Note 3 3 4 2 3" xfId="12110" xr:uid="{54D9373B-A1A8-4DA6-BE61-DCB293B6E64A}"/>
    <cellStyle name="Note 3 3 4 3" xfId="5741" xr:uid="{00000000-0005-0000-0000-0000C6210000}"/>
    <cellStyle name="Note 3 3 4 3 2" xfId="14183" xr:uid="{8812C161-79E3-49A4-AB3E-E8066593AD04}"/>
    <cellStyle name="Note 3 3 4 4" xfId="9965" xr:uid="{831DF26E-1E27-446F-971D-DBD0EF191D6D}"/>
    <cellStyle name="Note 3 3 5" xfId="1847" xr:uid="{00000000-0005-0000-0000-0000C7210000}"/>
    <cellStyle name="Note 3 3 5 2" xfId="4076" xr:uid="{00000000-0005-0000-0000-0000C8210000}"/>
    <cellStyle name="Note 3 3 5 2 2" xfId="8299" xr:uid="{00000000-0005-0000-0000-0000C9210000}"/>
    <cellStyle name="Note 3 3 5 2 2 2" xfId="16741" xr:uid="{EFD0B776-6F68-4D7E-8702-1A119AD2984F}"/>
    <cellStyle name="Note 3 3 5 2 3" xfId="12523" xr:uid="{C22A08EC-E5F0-4373-8D47-AAC4216CFB74}"/>
    <cellStyle name="Note 3 3 5 3" xfId="6154" xr:uid="{00000000-0005-0000-0000-0000CA210000}"/>
    <cellStyle name="Note 3 3 5 3 2" xfId="14596" xr:uid="{0A438BAC-8F8F-4F2B-9325-42A575D5553B}"/>
    <cellStyle name="Note 3 3 5 4" xfId="10378" xr:uid="{3A870A67-724B-4BCF-91F6-607C2C6C7C02}"/>
    <cellStyle name="Note 3 3 6" xfId="2260" xr:uid="{00000000-0005-0000-0000-0000CB210000}"/>
    <cellStyle name="Note 3 3 6 2" xfId="4489" xr:uid="{00000000-0005-0000-0000-0000CC210000}"/>
    <cellStyle name="Note 3 3 6 2 2" xfId="8712" xr:uid="{00000000-0005-0000-0000-0000CD210000}"/>
    <cellStyle name="Note 3 3 6 2 2 2" xfId="17154" xr:uid="{B228D1EC-A9B0-4CD7-A422-0488C21BB440}"/>
    <cellStyle name="Note 3 3 6 2 3" xfId="12936" xr:uid="{2D335DA3-EFAA-462A-859F-E0EAA8C20CEB}"/>
    <cellStyle name="Note 3 3 6 3" xfId="6567" xr:uid="{00000000-0005-0000-0000-0000CE210000}"/>
    <cellStyle name="Note 3 3 6 3 2" xfId="15009" xr:uid="{C89A50AB-E288-442C-99F3-D5273737CB9B}"/>
    <cellStyle name="Note 3 3 6 4" xfId="10791" xr:uid="{15E647D5-6ADD-4AC1-BFF7-F2903913435F}"/>
    <cellStyle name="Note 3 3 7" xfId="2696" xr:uid="{00000000-0005-0000-0000-0000CF210000}"/>
    <cellStyle name="Note 3 3 7 2" xfId="6980" xr:uid="{00000000-0005-0000-0000-0000D0210000}"/>
    <cellStyle name="Note 3 3 7 2 2" xfId="15422" xr:uid="{8225234E-349F-4D9C-BADD-9A3BE1554036}"/>
    <cellStyle name="Note 3 3 7 3" xfId="11204" xr:uid="{8E2E063D-58F4-47A9-8136-E02B12032BAA}"/>
    <cellStyle name="Note 3 3 8" xfId="2755" xr:uid="{00000000-0005-0000-0000-0000D1210000}"/>
    <cellStyle name="Note 3 3 9" xfId="2836" xr:uid="{00000000-0005-0000-0000-0000D2210000}"/>
    <cellStyle name="Note 3 3 9 2" xfId="7060" xr:uid="{00000000-0005-0000-0000-0000D3210000}"/>
    <cellStyle name="Note 3 3 9 2 2" xfId="15502" xr:uid="{2A764F74-31F6-4AEB-A85D-B7243786CDAE}"/>
    <cellStyle name="Note 3 3 9 3" xfId="11284" xr:uid="{DBC44C7E-B643-4CC8-8BF7-984D78B5F50C}"/>
    <cellStyle name="Note 3 4" xfId="560" xr:uid="{00000000-0005-0000-0000-0000D4210000}"/>
    <cellStyle name="Note 3 4 10" xfId="9141" xr:uid="{C42A8CF7-5275-4206-8514-86A1344F4E9F}"/>
    <cellStyle name="Note 3 4 2" xfId="1020" xr:uid="{00000000-0005-0000-0000-0000D5210000}"/>
    <cellStyle name="Note 3 4 2 2" xfId="3252" xr:uid="{00000000-0005-0000-0000-0000D6210000}"/>
    <cellStyle name="Note 3 4 2 2 2" xfId="7475" xr:uid="{00000000-0005-0000-0000-0000D7210000}"/>
    <cellStyle name="Note 3 4 2 2 2 2" xfId="15917" xr:uid="{11625817-350A-4E15-8818-2B6BF8503FAB}"/>
    <cellStyle name="Note 3 4 2 2 3" xfId="11699" xr:uid="{68BE1A97-4266-438E-99F9-DB2ABAA4853E}"/>
    <cellStyle name="Note 3 4 2 3" xfId="5330" xr:uid="{00000000-0005-0000-0000-0000D8210000}"/>
    <cellStyle name="Note 3 4 2 3 2" xfId="13772" xr:uid="{4A2BC5B7-4BB7-45E1-8496-B6817C851D84}"/>
    <cellStyle name="Note 3 4 2 4" xfId="9554" xr:uid="{B94370AC-3ED8-4CC4-BE50-D48CA1B318FC}"/>
    <cellStyle name="Note 3 4 3" xfId="1435" xr:uid="{00000000-0005-0000-0000-0000D9210000}"/>
    <cellStyle name="Note 3 4 3 2" xfId="3665" xr:uid="{00000000-0005-0000-0000-0000DA210000}"/>
    <cellStyle name="Note 3 4 3 2 2" xfId="7888" xr:uid="{00000000-0005-0000-0000-0000DB210000}"/>
    <cellStyle name="Note 3 4 3 2 2 2" xfId="16330" xr:uid="{0DFDD151-3B43-4DE7-8458-C62D6EE757DB}"/>
    <cellStyle name="Note 3 4 3 2 3" xfId="12112" xr:uid="{F785A712-7284-416B-B150-D39A142D0883}"/>
    <cellStyle name="Note 3 4 3 3" xfId="5743" xr:uid="{00000000-0005-0000-0000-0000DC210000}"/>
    <cellStyle name="Note 3 4 3 3 2" xfId="14185" xr:uid="{8039B4AB-8969-4033-BF8B-EA1F4DC71C0E}"/>
    <cellStyle name="Note 3 4 3 4" xfId="9967" xr:uid="{50350308-CEBE-4DBE-8852-64C1B142F17E}"/>
    <cellStyle name="Note 3 4 4" xfId="1849" xr:uid="{00000000-0005-0000-0000-0000DD210000}"/>
    <cellStyle name="Note 3 4 4 2" xfId="4078" xr:uid="{00000000-0005-0000-0000-0000DE210000}"/>
    <cellStyle name="Note 3 4 4 2 2" xfId="8301" xr:uid="{00000000-0005-0000-0000-0000DF210000}"/>
    <cellStyle name="Note 3 4 4 2 2 2" xfId="16743" xr:uid="{50496097-32FF-4E41-983B-68268CCC6889}"/>
    <cellStyle name="Note 3 4 4 2 3" xfId="12525" xr:uid="{9FA42D0F-E3C7-40E2-97F0-6747B7156443}"/>
    <cellStyle name="Note 3 4 4 3" xfId="6156" xr:uid="{00000000-0005-0000-0000-0000E0210000}"/>
    <cellStyle name="Note 3 4 4 3 2" xfId="14598" xr:uid="{9014D86B-F559-4E1C-9026-B11BBDC0403D}"/>
    <cellStyle name="Note 3 4 4 4" xfId="10380" xr:uid="{18652CE6-B891-484D-BD79-F5DBCD3EADF6}"/>
    <cellStyle name="Note 3 4 5" xfId="2262" xr:uid="{00000000-0005-0000-0000-0000E1210000}"/>
    <cellStyle name="Note 3 4 5 2" xfId="4491" xr:uid="{00000000-0005-0000-0000-0000E2210000}"/>
    <cellStyle name="Note 3 4 5 2 2" xfId="8714" xr:uid="{00000000-0005-0000-0000-0000E3210000}"/>
    <cellStyle name="Note 3 4 5 2 2 2" xfId="17156" xr:uid="{F7F33639-E8A4-465E-8119-3D7DD6F8625C}"/>
    <cellStyle name="Note 3 4 5 2 3" xfId="12938" xr:uid="{26CFC0FC-9BE5-4BDD-9CD6-2DB17A51DCF4}"/>
    <cellStyle name="Note 3 4 5 3" xfId="6569" xr:uid="{00000000-0005-0000-0000-0000E4210000}"/>
    <cellStyle name="Note 3 4 5 3 2" xfId="15011" xr:uid="{820FFFE0-2AC9-40EE-8C97-23F15F45E708}"/>
    <cellStyle name="Note 3 4 5 4" xfId="10793" xr:uid="{86611B6B-69DA-44FC-9BF6-5B7E1DD740FB}"/>
    <cellStyle name="Note 3 4 6" xfId="2698" xr:uid="{00000000-0005-0000-0000-0000E5210000}"/>
    <cellStyle name="Note 3 4 6 2" xfId="6982" xr:uid="{00000000-0005-0000-0000-0000E6210000}"/>
    <cellStyle name="Note 3 4 6 2 2" xfId="15424" xr:uid="{C1D63649-402F-42C0-A21D-463AC327A472}"/>
    <cellStyle name="Note 3 4 6 3" xfId="11206" xr:uid="{74E2CEF3-266D-4F53-B038-1523E9752235}"/>
    <cellStyle name="Note 3 4 7" xfId="2757" xr:uid="{00000000-0005-0000-0000-0000E7210000}"/>
    <cellStyle name="Note 3 4 8" xfId="2838" xr:uid="{00000000-0005-0000-0000-0000E8210000}"/>
    <cellStyle name="Note 3 4 8 2" xfId="7062" xr:uid="{00000000-0005-0000-0000-0000E9210000}"/>
    <cellStyle name="Note 3 4 8 2 2" xfId="15504" xr:uid="{ABF0A346-194B-43D4-A256-2A9F3747AC6D}"/>
    <cellStyle name="Note 3 4 8 3" xfId="11286" xr:uid="{62BE9F44-FE2C-49D0-9D97-EA96F83105AB}"/>
    <cellStyle name="Note 3 4 9" xfId="4917" xr:uid="{00000000-0005-0000-0000-0000EA210000}"/>
    <cellStyle name="Note 3 4 9 2" xfId="13359" xr:uid="{E2BD3CB3-F480-43A6-8DAF-4D3AAF00E26A}"/>
    <cellStyle name="Note 3 5" xfId="561" xr:uid="{00000000-0005-0000-0000-0000EB210000}"/>
    <cellStyle name="Note 3 5 10" xfId="9142" xr:uid="{5CEDD517-FFF4-47FA-BB8C-BBB4CF79663F}"/>
    <cellStyle name="Note 3 5 2" xfId="1021" xr:uid="{00000000-0005-0000-0000-0000EC210000}"/>
    <cellStyle name="Note 3 5 2 2" xfId="3253" xr:uid="{00000000-0005-0000-0000-0000ED210000}"/>
    <cellStyle name="Note 3 5 2 2 2" xfId="7476" xr:uid="{00000000-0005-0000-0000-0000EE210000}"/>
    <cellStyle name="Note 3 5 2 2 2 2" xfId="15918" xr:uid="{705B45B3-E74F-4062-9D5A-953325EEE652}"/>
    <cellStyle name="Note 3 5 2 2 3" xfId="11700" xr:uid="{929B344E-A625-4341-A5C9-BA7B2113AB7A}"/>
    <cellStyle name="Note 3 5 2 3" xfId="5331" xr:uid="{00000000-0005-0000-0000-0000EF210000}"/>
    <cellStyle name="Note 3 5 2 3 2" xfId="13773" xr:uid="{568B9D50-6210-4ED9-B59E-E50BC961A9C8}"/>
    <cellStyle name="Note 3 5 2 4" xfId="9555" xr:uid="{A7A3D2FA-C9CF-4CC8-BBA1-E0BF1A44ABAE}"/>
    <cellStyle name="Note 3 5 3" xfId="1436" xr:uid="{00000000-0005-0000-0000-0000F0210000}"/>
    <cellStyle name="Note 3 5 3 2" xfId="3666" xr:uid="{00000000-0005-0000-0000-0000F1210000}"/>
    <cellStyle name="Note 3 5 3 2 2" xfId="7889" xr:uid="{00000000-0005-0000-0000-0000F2210000}"/>
    <cellStyle name="Note 3 5 3 2 2 2" xfId="16331" xr:uid="{596C171B-C025-4853-855D-C0F59B26A994}"/>
    <cellStyle name="Note 3 5 3 2 3" xfId="12113" xr:uid="{38776B60-1898-46D5-89FB-8B4AB5CD8DA9}"/>
    <cellStyle name="Note 3 5 3 3" xfId="5744" xr:uid="{00000000-0005-0000-0000-0000F3210000}"/>
    <cellStyle name="Note 3 5 3 3 2" xfId="14186" xr:uid="{A2537CD6-C120-4E82-9E7D-ACCA6B654F02}"/>
    <cellStyle name="Note 3 5 3 4" xfId="9968" xr:uid="{7A998678-6EB8-4316-B1AD-EF30F0B97B6A}"/>
    <cellStyle name="Note 3 5 4" xfId="1850" xr:uid="{00000000-0005-0000-0000-0000F4210000}"/>
    <cellStyle name="Note 3 5 4 2" xfId="4079" xr:uid="{00000000-0005-0000-0000-0000F5210000}"/>
    <cellStyle name="Note 3 5 4 2 2" xfId="8302" xr:uid="{00000000-0005-0000-0000-0000F6210000}"/>
    <cellStyle name="Note 3 5 4 2 2 2" xfId="16744" xr:uid="{10A98D2C-6676-4BCB-BF7F-E85AE51F0091}"/>
    <cellStyle name="Note 3 5 4 2 3" xfId="12526" xr:uid="{25E6E3CD-223F-4380-A9E9-59392DF50747}"/>
    <cellStyle name="Note 3 5 4 3" xfId="6157" xr:uid="{00000000-0005-0000-0000-0000F7210000}"/>
    <cellStyle name="Note 3 5 4 3 2" xfId="14599" xr:uid="{67EC9338-162F-4231-9DD7-AFA6575A169A}"/>
    <cellStyle name="Note 3 5 4 4" xfId="10381" xr:uid="{AE55A8B8-C9F1-4B6F-9889-C47C1F4CC5ED}"/>
    <cellStyle name="Note 3 5 5" xfId="2263" xr:uid="{00000000-0005-0000-0000-0000F8210000}"/>
    <cellStyle name="Note 3 5 5 2" xfId="4492" xr:uid="{00000000-0005-0000-0000-0000F9210000}"/>
    <cellStyle name="Note 3 5 5 2 2" xfId="8715" xr:uid="{00000000-0005-0000-0000-0000FA210000}"/>
    <cellStyle name="Note 3 5 5 2 2 2" xfId="17157" xr:uid="{7C461BF4-98D5-4FE2-868E-93E0DA6491C0}"/>
    <cellStyle name="Note 3 5 5 2 3" xfId="12939" xr:uid="{A390F869-64F2-4338-9AAB-7A2D0E6A635A}"/>
    <cellStyle name="Note 3 5 5 3" xfId="6570" xr:uid="{00000000-0005-0000-0000-0000FB210000}"/>
    <cellStyle name="Note 3 5 5 3 2" xfId="15012" xr:uid="{A1873AD5-0EA7-4185-93C2-9F1BC446B0EA}"/>
    <cellStyle name="Note 3 5 5 4" xfId="10794" xr:uid="{32538735-2AE9-4ADC-9575-839F7F0CD9DC}"/>
    <cellStyle name="Note 3 5 6" xfId="2699" xr:uid="{00000000-0005-0000-0000-0000FC210000}"/>
    <cellStyle name="Note 3 5 6 2" xfId="6983" xr:uid="{00000000-0005-0000-0000-0000FD210000}"/>
    <cellStyle name="Note 3 5 6 2 2" xfId="15425" xr:uid="{D55A71DD-2B0F-4F33-8DE4-B508E8AB90F4}"/>
    <cellStyle name="Note 3 5 6 3" xfId="11207" xr:uid="{C1F6B412-90A3-4538-843D-DB9741C10BA2}"/>
    <cellStyle name="Note 3 5 7" xfId="2758" xr:uid="{00000000-0005-0000-0000-0000FE210000}"/>
    <cellStyle name="Note 3 5 8" xfId="2839" xr:uid="{00000000-0005-0000-0000-0000FF210000}"/>
    <cellStyle name="Note 3 5 8 2" xfId="7063" xr:uid="{00000000-0005-0000-0000-000000220000}"/>
    <cellStyle name="Note 3 5 8 2 2" xfId="15505" xr:uid="{D8AD43B2-D74F-433D-AFA0-66F43BC1FF97}"/>
    <cellStyle name="Note 3 5 8 3" xfId="11287" xr:uid="{4A5BF92A-581C-4F0D-8E01-4B8846819208}"/>
    <cellStyle name="Note 3 5 9" xfId="4918" xr:uid="{00000000-0005-0000-0000-000001220000}"/>
    <cellStyle name="Note 3 5 9 2" xfId="13360" xr:uid="{E67DBED3-23B5-44A8-A829-237F772A04D2}"/>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DF992A94-296D-4EA5-B6AD-08D3530D70DE}"/>
    <cellStyle name="Percent 4" xfId="4502" xr:uid="{00000000-0005-0000-0000-000007220000}"/>
    <cellStyle name="Percent 4 2" xfId="8718" xr:uid="{00000000-0005-0000-0000-000008220000}"/>
    <cellStyle name="Percent 4 2 2" xfId="17160" xr:uid="{B100B521-EC57-4D13-ADB2-AC91CC3C8A31}"/>
    <cellStyle name="Percent 4 3" xfId="8721" xr:uid="{D09CD3FC-D632-4B66-A68A-5CC92F993799}"/>
    <cellStyle name="Percent 4 3 2" xfId="8725" xr:uid="{D57AE941-8E59-43F0-AB73-09B3BCCFA234}"/>
    <cellStyle name="Percent 4 3 2 2" xfId="8728" xr:uid="{D24D76A7-D076-4554-9944-551B122393DE}"/>
    <cellStyle name="Percent 4 3 2 2 2" xfId="17169" xr:uid="{D45C7EC7-94EB-4BC5-A8A1-410424F4CFD8}"/>
    <cellStyle name="Percent 4 3 2 3" xfId="17166" xr:uid="{343DE700-F7B4-4853-B614-0FCEE46D7F96}"/>
    <cellStyle name="Percent 4 3 3" xfId="17163" xr:uid="{C05F8CE6-51A7-4CBA-8C71-EA3730884EDD}"/>
    <cellStyle name="Percent 4 4" xfId="12946" xr:uid="{75F22CBD-8BA8-43B1-938B-D6B25B3CBDA0}"/>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20" workbookViewId="0">
      <selection activeCell="D18" sqref="D18:AK27"/>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2349</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6" t="s">
        <v>2350</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2577</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ht="13">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2351</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2506</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2352</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9"/>
      <c r="E33" s="1273" t="s">
        <v>2583</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ht="13">
      <c r="A34" s="4"/>
      <c r="C34" s="2"/>
    </row>
    <row r="35" spans="1:38">
      <c r="A35" s="4"/>
      <c r="D35" s="1267" t="s">
        <v>2501</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D37" s="120"/>
      <c r="E37" s="1272" t="s">
        <v>2359</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ht="13">
      <c r="A38" s="4"/>
      <c r="D38" s="120"/>
      <c r="E38" s="1272" t="s">
        <v>2360</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6" t="s">
        <v>2354</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2355</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ht="13">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ht="13">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3">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2356</v>
      </c>
      <c r="F140" s="2"/>
      <c r="G140" s="2"/>
      <c r="H140" s="2"/>
    </row>
    <row r="141" spans="4:37">
      <c r="E141" t="s">
        <v>112</v>
      </c>
      <c r="F141" t="s">
        <v>52</v>
      </c>
    </row>
    <row r="142" spans="4:37">
      <c r="E142" t="s">
        <v>113</v>
      </c>
      <c r="F142" t="s">
        <v>475</v>
      </c>
    </row>
    <row r="143" spans="4:37"/>
    <row r="144" spans="4:37" ht="13">
      <c r="D144" s="2" t="s">
        <v>430</v>
      </c>
      <c r="E144" s="2" t="s">
        <v>2357</v>
      </c>
    </row>
    <row r="145" spans="3:7">
      <c r="E145" s="218" t="s">
        <v>2358</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ht="13">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ht="13">
      <c r="A369"/>
      <c r="B369" s="2"/>
      <c r="C369"/>
      <c r="D369"/>
      <c r="E369" s="1270" t="s">
        <v>1368</v>
      </c>
    </row>
    <row r="370" spans="1:37" s="1271"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1369</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1379</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1385</v>
      </c>
      <c r="F392" s="3"/>
      <c r="G392" s="2"/>
      <c r="I392" s="120"/>
      <c r="J392" s="3"/>
      <c r="K392" s="3"/>
      <c r="L392" s="3"/>
      <c r="M392" s="3"/>
      <c r="N392" s="3"/>
      <c r="O392" s="3"/>
      <c r="P392" s="3"/>
      <c r="Q392" s="3"/>
      <c r="R392" s="3"/>
      <c r="S392" s="3"/>
    </row>
    <row r="393" spans="1:38" ht="13.1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230" t="s">
        <v>2413</v>
      </c>
      <c r="B1" s="2231"/>
      <c r="C1" s="2231"/>
      <c r="D1" s="2231"/>
      <c r="E1" s="2231"/>
      <c r="F1" s="2231"/>
      <c r="G1" s="2231"/>
      <c r="H1" s="2231"/>
      <c r="I1" s="2231"/>
      <c r="J1" s="2231"/>
      <c r="K1" s="2231"/>
      <c r="L1" s="2231"/>
      <c r="M1" s="2231"/>
      <c r="N1" s="2231"/>
      <c r="O1" s="2231"/>
      <c r="P1" s="2231"/>
      <c r="Q1" s="2231"/>
      <c r="R1" s="2231"/>
      <c r="S1" s="2231"/>
      <c r="T1" s="2231"/>
      <c r="U1" s="2231"/>
      <c r="V1" s="2231"/>
      <c r="W1" s="2231"/>
      <c r="X1" s="2231"/>
      <c r="Y1" s="2231"/>
      <c r="Z1" s="2231"/>
      <c r="AA1" s="2231"/>
      <c r="AB1" s="2231"/>
      <c r="AC1" s="2231"/>
      <c r="AD1" s="2231"/>
      <c r="AE1" s="2231"/>
      <c r="AF1" s="2231"/>
      <c r="AG1" s="2231"/>
      <c r="AH1" s="2231"/>
      <c r="AI1" s="2231"/>
      <c r="AJ1" s="2231"/>
      <c r="AK1" s="2231"/>
      <c r="AL1" s="2231"/>
      <c r="AM1" s="2231"/>
      <c r="AN1" s="2231"/>
      <c r="AO1" s="2231"/>
      <c r="AP1" s="2231"/>
      <c r="AQ1" s="2231"/>
      <c r="AR1" s="2231"/>
      <c r="AS1" s="2231"/>
      <c r="AT1" s="2231"/>
      <c r="AU1" s="2231"/>
      <c r="AV1" s="2231"/>
      <c r="AW1" s="2231"/>
      <c r="AX1" s="2231"/>
      <c r="AY1" s="2231"/>
      <c r="AZ1" s="2231"/>
      <c r="BA1" s="2231"/>
      <c r="BB1" s="2231"/>
      <c r="BC1" s="2231"/>
      <c r="BD1" s="2231"/>
      <c r="BE1" s="2232"/>
    </row>
    <row r="2" spans="1:65" ht="15.75" customHeight="1">
      <c r="A2" s="2233" t="s">
        <v>2460</v>
      </c>
      <c r="B2" s="2234"/>
      <c r="C2" s="2234"/>
      <c r="D2" s="2234"/>
      <c r="E2" s="2234"/>
      <c r="F2" s="2234"/>
      <c r="G2" s="2234"/>
      <c r="H2" s="2234"/>
      <c r="I2" s="2234"/>
      <c r="J2" s="2234"/>
      <c r="K2" s="2234"/>
      <c r="L2" s="2234"/>
      <c r="M2" s="2234"/>
      <c r="N2" s="2234"/>
      <c r="O2" s="2234"/>
      <c r="P2" s="2234"/>
      <c r="Q2" s="2234"/>
      <c r="R2" s="2234"/>
      <c r="S2" s="2234"/>
      <c r="T2" s="2234"/>
      <c r="U2" s="2234"/>
      <c r="V2" s="2234"/>
      <c r="W2" s="2234"/>
      <c r="X2" s="2234"/>
      <c r="Y2" s="2234"/>
      <c r="Z2" s="2234"/>
      <c r="AA2" s="2234"/>
      <c r="AB2" s="2234"/>
      <c r="AC2" s="2234"/>
      <c r="AD2" s="2234"/>
      <c r="AE2" s="2234"/>
      <c r="AF2" s="2234"/>
      <c r="AG2" s="2234"/>
      <c r="AH2" s="2234"/>
      <c r="AI2" s="2234"/>
      <c r="AJ2" s="2234"/>
      <c r="AK2" s="2234"/>
      <c r="AL2" s="2234"/>
      <c r="AM2" s="2234"/>
      <c r="AN2" s="2234"/>
      <c r="AO2" s="2234"/>
      <c r="AP2" s="2234"/>
      <c r="AQ2" s="2234"/>
      <c r="AR2" s="2234"/>
      <c r="AS2" s="2234"/>
      <c r="AT2" s="2234"/>
      <c r="AU2" s="2234"/>
      <c r="AV2" s="2234"/>
      <c r="AW2" s="2234"/>
      <c r="AX2" s="2234"/>
      <c r="AY2" s="2234"/>
      <c r="AZ2" s="2234"/>
      <c r="BA2" s="2234"/>
      <c r="BB2" s="2234"/>
      <c r="BC2" s="2234"/>
      <c r="BD2" s="2234"/>
      <c r="BE2" s="223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6" t="str">
        <f>IF(Application!H18="","",Application!H18)</f>
        <v>712 Seagaze</v>
      </c>
      <c r="M4" s="2237"/>
      <c r="N4" s="2237"/>
      <c r="O4" s="2237"/>
      <c r="P4" s="2237"/>
      <c r="Q4" s="2237"/>
      <c r="R4" s="2237"/>
      <c r="S4" s="2237"/>
      <c r="T4" s="2237"/>
      <c r="U4" s="2237"/>
      <c r="V4" s="2237"/>
      <c r="W4" s="2237"/>
      <c r="X4" s="2237"/>
      <c r="Y4" s="2237"/>
      <c r="Z4" s="2237"/>
      <c r="AA4" s="2237"/>
      <c r="AB4" s="2237"/>
      <c r="AC4" s="2238"/>
      <c r="AD4" s="1206"/>
      <c r="AE4" s="1206"/>
      <c r="AF4" s="2239" t="s">
        <v>2461</v>
      </c>
      <c r="AG4" s="2239"/>
      <c r="AH4" s="2239"/>
      <c r="AI4" s="2239"/>
      <c r="AJ4" s="2239"/>
      <c r="AK4" s="2239"/>
      <c r="AL4" s="2239"/>
      <c r="AM4" s="2239"/>
      <c r="AN4" s="2239"/>
      <c r="AO4" s="2239"/>
      <c r="AP4" s="2240"/>
      <c r="AQ4" s="2241"/>
      <c r="AR4" s="2241"/>
      <c r="AS4" s="2241"/>
      <c r="AT4" s="2241"/>
      <c r="AU4" s="224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9" t="s">
        <v>2462</v>
      </c>
      <c r="AG5" s="2239"/>
      <c r="AH5" s="2239"/>
      <c r="AI5" s="2239"/>
      <c r="AJ5" s="2239"/>
      <c r="AK5" s="2239"/>
      <c r="AL5" s="2239"/>
      <c r="AM5" s="2239"/>
      <c r="AN5" s="2239"/>
      <c r="AO5" s="2239"/>
      <c r="AP5" s="2240"/>
      <c r="AQ5" s="2241"/>
      <c r="AR5" s="2241"/>
      <c r="AS5" s="2241"/>
      <c r="AT5" s="2241"/>
      <c r="AU5" s="2241"/>
      <c r="AV5" s="1206"/>
      <c r="AW5" s="1206"/>
      <c r="AX5" s="1206"/>
      <c r="AY5" s="1206"/>
      <c r="AZ5" s="1206"/>
      <c r="BA5" s="1206"/>
      <c r="BB5" s="1206"/>
      <c r="BC5" s="1206"/>
      <c r="BD5" s="1206"/>
      <c r="BE5" s="1216"/>
    </row>
    <row r="6" spans="1:65" ht="15.75" customHeight="1" thickBot="1">
      <c r="A6" s="1212"/>
      <c r="B6" s="1214" t="s">
        <v>1790</v>
      </c>
      <c r="C6" s="1206"/>
      <c r="D6" s="1206"/>
      <c r="E6" s="1206"/>
      <c r="F6" s="1206"/>
      <c r="G6" s="1206"/>
      <c r="H6" s="1206"/>
      <c r="I6" s="1206"/>
      <c r="J6" s="1206"/>
      <c r="K6" s="1206"/>
      <c r="L6" s="2236" t="str">
        <f>IF(Application!H16="","",Application!H16)</f>
        <v>716 Seagaze Affordable, L.P.</v>
      </c>
      <c r="M6" s="2237"/>
      <c r="N6" s="2237"/>
      <c r="O6" s="2237"/>
      <c r="P6" s="2237"/>
      <c r="Q6" s="2237"/>
      <c r="R6" s="2237"/>
      <c r="S6" s="2237"/>
      <c r="T6" s="2237"/>
      <c r="U6" s="2237"/>
      <c r="V6" s="2237"/>
      <c r="W6" s="2237"/>
      <c r="X6" s="2237"/>
      <c r="Y6" s="2237"/>
      <c r="Z6" s="2237"/>
      <c r="AA6" s="2237"/>
      <c r="AB6" s="2237"/>
      <c r="AC6" s="2238"/>
      <c r="AD6" s="1206"/>
      <c r="AE6" s="1206"/>
      <c r="AF6" s="2242" t="s">
        <v>2463</v>
      </c>
      <c r="AG6" s="2242"/>
      <c r="AH6" s="2242"/>
      <c r="AI6" s="2242"/>
      <c r="AJ6" s="2242"/>
      <c r="AK6" s="2242"/>
      <c r="AL6" s="2242"/>
      <c r="AM6" s="2242"/>
      <c r="AN6" s="2242"/>
      <c r="AO6" s="2242"/>
      <c r="AP6" s="2229">
        <v>0</v>
      </c>
      <c r="AQ6" s="2229"/>
      <c r="AR6" s="2229"/>
      <c r="AS6" s="2229"/>
      <c r="AT6" s="2229"/>
      <c r="AU6" s="2229"/>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2" t="s">
        <v>2464</v>
      </c>
      <c r="AG7" s="2242"/>
      <c r="AH7" s="2242"/>
      <c r="AI7" s="2242"/>
      <c r="AJ7" s="2242"/>
      <c r="AK7" s="2242"/>
      <c r="AL7" s="2242"/>
      <c r="AM7" s="2242"/>
      <c r="AN7" s="2242"/>
      <c r="AO7" s="2242"/>
      <c r="AP7" s="2229">
        <v>0</v>
      </c>
      <c r="AQ7" s="2229"/>
      <c r="AR7" s="2229"/>
      <c r="AS7" s="2229"/>
      <c r="AT7" s="2229"/>
      <c r="AU7" s="2229"/>
      <c r="AV7" s="1206"/>
      <c r="AW7" s="1206"/>
      <c r="AX7" s="1206"/>
      <c r="AY7" s="1206"/>
      <c r="AZ7" s="1206"/>
      <c r="BA7" s="1206"/>
      <c r="BB7" s="1206"/>
      <c r="BC7" s="1206"/>
      <c r="BD7" s="1206"/>
      <c r="BE7" s="1216"/>
    </row>
    <row r="8" spans="1:65" ht="15" thickBot="1">
      <c r="A8" s="1212"/>
      <c r="B8" s="1214" t="s">
        <v>1791</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3" t="str">
        <f>Application!T197</f>
        <v>No</v>
      </c>
      <c r="AC8" s="2244"/>
      <c r="AD8" s="2245"/>
      <c r="AE8" s="1206"/>
      <c r="AF8" s="2242" t="s">
        <v>2465</v>
      </c>
      <c r="AG8" s="2242"/>
      <c r="AH8" s="2242"/>
      <c r="AI8" s="2242"/>
      <c r="AJ8" s="2242"/>
      <c r="AK8" s="2242"/>
      <c r="AL8" s="2242"/>
      <c r="AM8" s="2242"/>
      <c r="AN8" s="2242"/>
      <c r="AO8" s="2242"/>
      <c r="AP8" s="2229" t="s">
        <v>2417</v>
      </c>
      <c r="AQ8" s="2229"/>
      <c r="AR8" s="2229"/>
      <c r="AS8" s="2229"/>
      <c r="AT8" s="2229"/>
      <c r="AU8" s="2229"/>
      <c r="AV8" s="1206"/>
      <c r="AW8" s="1206"/>
      <c r="AX8" s="1206"/>
      <c r="AY8" s="1206"/>
      <c r="AZ8" s="1206"/>
      <c r="BA8" s="1206"/>
      <c r="BB8" s="1206"/>
      <c r="BC8" s="1206"/>
      <c r="BD8" s="1206"/>
      <c r="BE8" s="1216"/>
      <c r="BM8" s="1197" t="s">
        <v>2293</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9" t="s">
        <v>2623</v>
      </c>
      <c r="AG9" s="2239"/>
      <c r="AH9" s="2239"/>
      <c r="AI9" s="2239"/>
      <c r="AJ9" s="2239"/>
      <c r="AK9" s="2239"/>
      <c r="AL9" s="2239"/>
      <c r="AM9" s="2239"/>
      <c r="AN9" s="2239"/>
      <c r="AO9" s="2239"/>
      <c r="AP9" s="2240"/>
      <c r="AQ9" s="2241"/>
      <c r="AR9" s="2241"/>
      <c r="AS9" s="2241"/>
      <c r="AT9" s="2241"/>
      <c r="AU9" s="2241"/>
      <c r="AV9" s="1206"/>
      <c r="AW9" s="1206"/>
      <c r="AX9" s="1206"/>
      <c r="AY9" s="1206"/>
      <c r="AZ9" s="1206"/>
      <c r="BA9" s="1206"/>
      <c r="BB9" s="1206"/>
      <c r="BC9" s="1206"/>
      <c r="BD9" s="1206"/>
      <c r="BE9" s="1216"/>
      <c r="BM9" s="1197" t="s">
        <v>2466</v>
      </c>
    </row>
    <row r="10" spans="1:65" ht="14.5">
      <c r="A10" s="1212"/>
      <c r="B10" s="1214" t="s">
        <v>1792</v>
      </c>
      <c r="C10" s="1214"/>
      <c r="D10" s="1214"/>
      <c r="E10" s="1214"/>
      <c r="F10" s="1214"/>
      <c r="G10" s="1214"/>
      <c r="H10" s="1214"/>
      <c r="I10" s="1214"/>
      <c r="J10" s="1214"/>
      <c r="K10" s="1214"/>
      <c r="L10" s="1214"/>
      <c r="M10" s="1206"/>
      <c r="N10" s="2254">
        <f>Application!AO627</f>
        <v>11580000</v>
      </c>
      <c r="O10" s="2254"/>
      <c r="P10" s="2254"/>
      <c r="Q10" s="2254"/>
      <c r="R10" s="2254"/>
      <c r="S10" s="2254"/>
      <c r="T10" s="2254"/>
      <c r="U10" s="1206"/>
      <c r="V10" s="1206"/>
      <c r="W10" s="1206"/>
      <c r="X10" s="1255"/>
      <c r="Y10" s="1255"/>
      <c r="Z10" s="1255"/>
      <c r="AA10" s="1255"/>
      <c r="AB10" s="1255"/>
      <c r="AC10" s="1255"/>
      <c r="AD10" s="1255"/>
      <c r="AE10" s="1255"/>
      <c r="AF10" s="2239" t="s">
        <v>2622</v>
      </c>
      <c r="AG10" s="2239"/>
      <c r="AH10" s="2239"/>
      <c r="AI10" s="2239"/>
      <c r="AJ10" s="2239"/>
      <c r="AK10" s="2239"/>
      <c r="AL10" s="2239"/>
      <c r="AM10" s="2239"/>
      <c r="AN10" s="2239"/>
      <c r="AO10" s="2239"/>
      <c r="AP10" s="2240"/>
      <c r="AQ10" s="2241"/>
      <c r="AR10" s="2241"/>
      <c r="AS10" s="2241"/>
      <c r="AT10" s="2241"/>
      <c r="AU10" s="2241"/>
      <c r="AV10" s="1255"/>
      <c r="AW10" s="1255"/>
      <c r="AX10" s="1206"/>
      <c r="AY10" s="1206"/>
      <c r="AZ10" s="1206"/>
      <c r="BA10" s="1206"/>
      <c r="BB10" s="1206"/>
      <c r="BC10" s="1206"/>
      <c r="BD10" s="1206"/>
      <c r="BE10" s="1216"/>
      <c r="BM10" s="1197" t="s">
        <v>2468</v>
      </c>
    </row>
    <row r="11" spans="1:65" ht="14.5">
      <c r="A11" s="1212"/>
      <c r="B11" s="1214" t="s">
        <v>1793</v>
      </c>
      <c r="C11" s="1214"/>
      <c r="D11" s="1214"/>
      <c r="E11" s="1214"/>
      <c r="F11" s="1214"/>
      <c r="G11" s="1214"/>
      <c r="H11" s="1214"/>
      <c r="I11" s="1214"/>
      <c r="J11" s="1214"/>
      <c r="K11" s="1214"/>
      <c r="L11" s="1214"/>
      <c r="M11" s="1206"/>
      <c r="N11" s="2254">
        <f>Application!AA933</f>
        <v>0</v>
      </c>
      <c r="O11" s="2254"/>
      <c r="P11" s="2254"/>
      <c r="Q11" s="2254"/>
      <c r="R11" s="2254"/>
      <c r="S11" s="2254"/>
      <c r="T11" s="2254"/>
      <c r="U11" s="1206"/>
      <c r="V11" s="1206"/>
      <c r="W11" s="1206"/>
      <c r="X11" s="1255"/>
      <c r="Y11" s="1255"/>
      <c r="Z11" s="1255"/>
      <c r="AA11" s="1255"/>
      <c r="AB11" s="1255"/>
      <c r="AC11" s="1255"/>
      <c r="AD11" s="1255"/>
      <c r="AE11" s="1255"/>
      <c r="AF11" s="2239" t="s">
        <v>2621</v>
      </c>
      <c r="AG11" s="2239"/>
      <c r="AH11" s="2239"/>
      <c r="AI11" s="2239"/>
      <c r="AJ11" s="2239"/>
      <c r="AK11" s="2239"/>
      <c r="AL11" s="2239"/>
      <c r="AM11" s="2239"/>
      <c r="AN11" s="2239"/>
      <c r="AO11" s="2239"/>
      <c r="AP11" s="2240"/>
      <c r="AQ11" s="2241"/>
      <c r="AR11" s="2241"/>
      <c r="AS11" s="2241"/>
      <c r="AT11" s="2241"/>
      <c r="AU11" s="2241"/>
      <c r="AV11" s="1255"/>
      <c r="AW11" s="1255"/>
      <c r="AX11" s="1206"/>
      <c r="AY11" s="1206"/>
      <c r="AZ11" s="1206"/>
      <c r="BA11" s="1206"/>
      <c r="BB11" s="1206"/>
      <c r="BC11" s="1206"/>
      <c r="BD11" s="1206"/>
      <c r="BE11" s="1216"/>
      <c r="BM11" s="1197" t="s">
        <v>2417</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2471</v>
      </c>
    </row>
    <row r="13" spans="1:65" ht="15" thickBot="1">
      <c r="A13" s="1206"/>
      <c r="B13" s="2261" t="s">
        <v>1794</v>
      </c>
      <c r="C13" s="2262"/>
      <c r="D13" s="2262"/>
      <c r="E13" s="2262"/>
      <c r="F13" s="2262"/>
      <c r="G13" s="2262"/>
      <c r="H13" s="2262"/>
      <c r="I13" s="2262"/>
      <c r="J13" s="2262"/>
      <c r="K13" s="2262"/>
      <c r="L13" s="2262"/>
      <c r="M13" s="2262"/>
      <c r="N13" s="2262"/>
      <c r="O13" s="2262"/>
      <c r="P13" s="2263"/>
      <c r="Q13" s="2264" t="s">
        <v>678</v>
      </c>
      <c r="R13" s="2265"/>
      <c r="S13" s="2265"/>
      <c r="T13" s="2266"/>
      <c r="U13" s="1255"/>
      <c r="V13" s="1206"/>
      <c r="W13" s="1206"/>
      <c r="X13" s="1206"/>
      <c r="Y13" s="1206"/>
      <c r="Z13" s="1206"/>
      <c r="AA13" s="2255" t="s">
        <v>2467</v>
      </c>
      <c r="AB13" s="2255"/>
      <c r="AC13" s="2255"/>
      <c r="AD13" s="2255"/>
      <c r="AE13" s="2255"/>
      <c r="AF13" s="2255"/>
      <c r="AG13" s="2255"/>
      <c r="AH13" s="2255"/>
      <c r="AI13" s="2255"/>
      <c r="AJ13" s="2255"/>
      <c r="AK13" s="2255"/>
      <c r="AL13" s="2255"/>
      <c r="AM13" s="2255"/>
      <c r="AN13" s="2255"/>
      <c r="AO13" s="2256">
        <f>Application!W473</f>
        <v>0</v>
      </c>
      <c r="AP13" s="2257"/>
      <c r="AQ13" s="2257"/>
      <c r="AR13" s="2257"/>
      <c r="AS13" s="2257"/>
      <c r="AT13" s="1255"/>
      <c r="AU13" s="1255"/>
      <c r="AV13" s="1255"/>
      <c r="AW13" s="1255"/>
      <c r="AX13" s="1255"/>
      <c r="AY13" s="1255"/>
      <c r="AZ13" s="1255"/>
      <c r="BA13" s="1255"/>
      <c r="BB13" s="1255"/>
      <c r="BC13" s="1255"/>
      <c r="BD13" s="1255"/>
      <c r="BE13" s="1202"/>
      <c r="BM13" s="1197" t="s">
        <v>2472</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8" t="s">
        <v>2469</v>
      </c>
      <c r="AB14" s="2258"/>
      <c r="AC14" s="2258"/>
      <c r="AD14" s="2258"/>
      <c r="AE14" s="2258"/>
      <c r="AF14" s="2258"/>
      <c r="AG14" s="2258"/>
      <c r="AH14" s="2258"/>
      <c r="AI14" s="2258"/>
      <c r="AJ14" s="2258"/>
      <c r="AK14" s="2258"/>
      <c r="AL14" s="2258"/>
      <c r="AM14" s="2258"/>
      <c r="AN14" s="2258"/>
      <c r="AO14" s="2259"/>
      <c r="AP14" s="2260"/>
      <c r="AQ14" s="2260"/>
      <c r="AR14" s="2260"/>
      <c r="AS14" s="2260"/>
      <c r="AT14" s="1255"/>
      <c r="AU14" s="1255"/>
      <c r="AV14" s="1255"/>
      <c r="AW14" s="1255"/>
      <c r="AX14" s="1255"/>
      <c r="AY14" s="1255"/>
      <c r="AZ14" s="1255"/>
      <c r="BA14" s="1255"/>
      <c r="BB14" s="1255"/>
      <c r="BC14" s="1255"/>
      <c r="BD14" s="1255"/>
      <c r="BE14" s="1202"/>
    </row>
    <row r="15" spans="1:65" ht="15" thickBot="1">
      <c r="A15" s="1206"/>
      <c r="B15" s="2267" t="s">
        <v>1795</v>
      </c>
      <c r="C15" s="2268"/>
      <c r="D15" s="2268"/>
      <c r="E15" s="2268"/>
      <c r="F15" s="2268"/>
      <c r="G15" s="2268"/>
      <c r="H15" s="2268"/>
      <c r="I15" s="2268"/>
      <c r="J15" s="2268"/>
      <c r="K15" s="2268"/>
      <c r="L15" s="2268"/>
      <c r="M15" s="2268"/>
      <c r="N15" s="2268"/>
      <c r="O15" s="2268"/>
      <c r="P15" s="2268"/>
      <c r="Q15" s="2268"/>
      <c r="R15" s="2269"/>
      <c r="S15" s="2270" t="str">
        <f>IF(Application!AB214="","",Application!AB214)</f>
        <v/>
      </c>
      <c r="T15" s="2270"/>
      <c r="U15" s="2270"/>
      <c r="V15" s="2270"/>
      <c r="W15" s="2271"/>
      <c r="X15" s="1255"/>
      <c r="Y15" s="1206"/>
      <c r="Z15" s="1206"/>
      <c r="AA15" s="2255" t="s">
        <v>2470</v>
      </c>
      <c r="AB15" s="2255"/>
      <c r="AC15" s="2255"/>
      <c r="AD15" s="2255"/>
      <c r="AE15" s="2255"/>
      <c r="AF15" s="2255"/>
      <c r="AG15" s="2255"/>
      <c r="AH15" s="2255"/>
      <c r="AI15" s="2255"/>
      <c r="AJ15" s="2255"/>
      <c r="AK15" s="2255"/>
      <c r="AL15" s="2255"/>
      <c r="AM15" s="2255"/>
      <c r="AN15" s="2255"/>
      <c r="AO15" s="2259"/>
      <c r="AP15" s="2260"/>
      <c r="AQ15" s="2260"/>
      <c r="AR15" s="2260"/>
      <c r="AS15" s="2260"/>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2" t="s">
        <v>1796</v>
      </c>
      <c r="C17" s="2273"/>
      <c r="D17" s="2273"/>
      <c r="E17" s="2273"/>
      <c r="F17" s="2273"/>
      <c r="G17" s="2273"/>
      <c r="H17" s="2273"/>
      <c r="I17" s="2273"/>
      <c r="J17" s="2273"/>
      <c r="K17" s="2273"/>
      <c r="L17" s="2273"/>
      <c r="M17" s="2273"/>
      <c r="N17" s="2273"/>
      <c r="O17" s="2273"/>
      <c r="P17" s="2273"/>
      <c r="Q17" s="2273"/>
      <c r="R17" s="2273"/>
      <c r="S17" s="2273"/>
      <c r="T17" s="2273"/>
      <c r="U17" s="2273"/>
      <c r="V17" s="2273"/>
      <c r="W17" s="2273"/>
      <c r="X17" s="2273"/>
      <c r="Y17" s="2273"/>
      <c r="Z17" s="2273"/>
      <c r="AA17" s="2273"/>
      <c r="AB17" s="2273"/>
      <c r="AC17" s="2273"/>
      <c r="AD17" s="2273"/>
      <c r="AE17" s="2273"/>
      <c r="AF17" s="2273"/>
      <c r="AG17" s="2273"/>
      <c r="AH17" s="2273"/>
      <c r="AI17" s="2273"/>
      <c r="AJ17" s="2273"/>
      <c r="AK17" s="2273"/>
      <c r="AL17" s="2273"/>
      <c r="AM17" s="2273"/>
      <c r="AN17" s="2273"/>
      <c r="AO17" s="2273"/>
      <c r="AP17" s="2273"/>
      <c r="AQ17" s="2273"/>
      <c r="AR17" s="2273"/>
      <c r="AS17" s="2273"/>
      <c r="AT17" s="2273"/>
      <c r="AU17" s="2273"/>
      <c r="AV17" s="2273"/>
      <c r="AW17" s="2273"/>
      <c r="AX17" s="2273"/>
      <c r="AY17" s="2274"/>
      <c r="AZ17" s="1206"/>
      <c r="BA17" s="1206"/>
      <c r="BB17" s="1206"/>
      <c r="BC17" s="1206"/>
      <c r="BD17" s="1206"/>
      <c r="BE17" s="1202"/>
      <c r="BF17" s="1198"/>
    </row>
    <row r="18" spans="1:58" ht="15.75" customHeight="1">
      <c r="A18" s="1206"/>
      <c r="B18" s="2275" t="s">
        <v>1797</v>
      </c>
      <c r="C18" s="2276"/>
      <c r="D18" s="2276"/>
      <c r="E18" s="2276"/>
      <c r="F18" s="2276"/>
      <c r="G18" s="2276"/>
      <c r="H18" s="2276"/>
      <c r="I18" s="2277"/>
      <c r="J18" s="2278" t="s">
        <v>1698</v>
      </c>
      <c r="K18" s="2279"/>
      <c r="L18" s="2279"/>
      <c r="M18" s="2279"/>
      <c r="N18" s="2279"/>
      <c r="O18" s="2280"/>
      <c r="P18" s="2278" t="s">
        <v>325</v>
      </c>
      <c r="Q18" s="2279"/>
      <c r="R18" s="2279"/>
      <c r="S18" s="2279"/>
      <c r="T18" s="2279"/>
      <c r="U18" s="2280"/>
      <c r="V18" s="2278" t="s">
        <v>326</v>
      </c>
      <c r="W18" s="2279"/>
      <c r="X18" s="2279"/>
      <c r="Y18" s="2279"/>
      <c r="Z18" s="2279"/>
      <c r="AA18" s="2280"/>
      <c r="AB18" s="2278" t="s">
        <v>163</v>
      </c>
      <c r="AC18" s="2279"/>
      <c r="AD18" s="2279"/>
      <c r="AE18" s="2279"/>
      <c r="AF18" s="2279"/>
      <c r="AG18" s="2280"/>
      <c r="AH18" s="2278" t="s">
        <v>164</v>
      </c>
      <c r="AI18" s="2279"/>
      <c r="AJ18" s="2279"/>
      <c r="AK18" s="2279"/>
      <c r="AL18" s="2279"/>
      <c r="AM18" s="2280"/>
      <c r="AN18" s="2278" t="s">
        <v>165</v>
      </c>
      <c r="AO18" s="2279"/>
      <c r="AP18" s="2279"/>
      <c r="AQ18" s="2279"/>
      <c r="AR18" s="2279"/>
      <c r="AS18" s="2280"/>
      <c r="AT18" s="2278" t="s">
        <v>1798</v>
      </c>
      <c r="AU18" s="2279"/>
      <c r="AV18" s="2279"/>
      <c r="AW18" s="2279"/>
      <c r="AX18" s="2279"/>
      <c r="AY18" s="2281"/>
      <c r="AZ18" s="1206"/>
      <c r="BA18" s="1206"/>
      <c r="BB18" s="1206"/>
      <c r="BC18" s="1206"/>
      <c r="BD18" s="1206"/>
      <c r="BE18" s="1202"/>
    </row>
    <row r="19" spans="1:58" ht="14.5">
      <c r="A19" s="1206"/>
      <c r="B19" s="2282">
        <v>0.3</v>
      </c>
      <c r="C19" s="2283"/>
      <c r="D19" s="2283"/>
      <c r="E19" s="2283"/>
      <c r="F19" s="2283"/>
      <c r="G19" s="2283"/>
      <c r="H19" s="2283"/>
      <c r="I19" s="2284"/>
      <c r="J19" s="2285">
        <f t="shared" ref="J19:J28" si="0">SUM(P19:AS19)</f>
        <v>45</v>
      </c>
      <c r="K19" s="2286"/>
      <c r="L19" s="2286"/>
      <c r="M19" s="2286"/>
      <c r="N19" s="2286"/>
      <c r="O19" s="2287"/>
      <c r="P19" s="2285" cm="1">
        <f t="array" ref="P19">SUMPRODUCT((Application!$B$718:$B$752 = 'CalHFA Addendum'!P$18)*(Application!$AC$718:$AC$752 = 'CalHFA Addendum'!$B19),Application!$G$718:$G$752)</f>
        <v>45</v>
      </c>
      <c r="Q19" s="2286"/>
      <c r="R19" s="2286"/>
      <c r="S19" s="2286"/>
      <c r="T19" s="2286"/>
      <c r="U19" s="2287"/>
      <c r="V19" s="2285" cm="1">
        <f t="array" ref="V19">SUMPRODUCT((Application!$B$714:$B$738 = 'CalHFA Addendum'!V$18)*(Application!$AC$714:$AC$738 = 'CalHFA Addendum'!$B19),Application!$G$714:$G$738)</f>
        <v>0</v>
      </c>
      <c r="W19" s="2286"/>
      <c r="X19" s="2286"/>
      <c r="Y19" s="2286"/>
      <c r="Z19" s="2286"/>
      <c r="AA19" s="2287"/>
      <c r="AB19" s="2285" cm="1">
        <f t="array" ref="AB19">SUMPRODUCT((Application!$B$714:$B$738 = 'CalHFA Addendum'!AB$18)*(Application!$AC$714:$AC$738 = 'CalHFA Addendum'!$B19),Application!$G$714:$G$738)</f>
        <v>0</v>
      </c>
      <c r="AC19" s="2286"/>
      <c r="AD19" s="2286"/>
      <c r="AE19" s="2286"/>
      <c r="AF19" s="2286"/>
      <c r="AG19" s="2287"/>
      <c r="AH19" s="2285" cm="1">
        <f t="array" ref="AH19">SUMPRODUCT((Application!$B$714:$B$738 = 'CalHFA Addendum'!AH$18)*(Application!$AC$714:$AC$738 = 'CalHFA Addendum'!$B19),Application!$G$714:$G$738)</f>
        <v>0</v>
      </c>
      <c r="AI19" s="2286"/>
      <c r="AJ19" s="2286"/>
      <c r="AK19" s="2286"/>
      <c r="AL19" s="2286"/>
      <c r="AM19" s="2287"/>
      <c r="AN19" s="2285" cm="1">
        <f t="array" ref="AN19">SUMPRODUCT((Application!$B$714:$B$738 = 'CalHFA Addendum'!AN$18)*(Application!$AC$714:$AC$738 = 'CalHFA Addendum'!$B19),Application!$G$714:$G$738)</f>
        <v>0</v>
      </c>
      <c r="AO19" s="2286"/>
      <c r="AP19" s="2286"/>
      <c r="AQ19" s="2286"/>
      <c r="AR19" s="2286"/>
      <c r="AS19" s="2287"/>
      <c r="AT19" s="2288">
        <f t="shared" ref="AT19:AT29" si="1">J19/$J$29</f>
        <v>0.25423728813559321</v>
      </c>
      <c r="AU19" s="2289"/>
      <c r="AV19" s="2289"/>
      <c r="AW19" s="2289"/>
      <c r="AX19" s="2289"/>
      <c r="AY19" s="2290"/>
      <c r="AZ19" s="1217"/>
      <c r="BA19" s="1206"/>
      <c r="BB19" s="1206"/>
      <c r="BC19" s="1206"/>
      <c r="BD19" s="1206"/>
      <c r="BE19" s="1202"/>
    </row>
    <row r="20" spans="1:58" ht="15" customHeight="1">
      <c r="A20" s="1206"/>
      <c r="B20" s="2282">
        <v>0.4</v>
      </c>
      <c r="C20" s="2283"/>
      <c r="D20" s="2283"/>
      <c r="E20" s="2283"/>
      <c r="F20" s="2283"/>
      <c r="G20" s="2283"/>
      <c r="H20" s="2283"/>
      <c r="I20" s="2284"/>
      <c r="J20" s="2285">
        <f t="shared" si="0"/>
        <v>0</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0</v>
      </c>
      <c r="W20" s="2286"/>
      <c r="X20" s="2286"/>
      <c r="Y20" s="2286"/>
      <c r="Z20" s="2286"/>
      <c r="AA20" s="2287"/>
      <c r="AB20" s="2285" cm="1">
        <f t="array" ref="AB20">SUMPRODUCT((Application!$B$714:$B$738 = 'CalHFA Addendum'!AB$18)*(Application!$AC$714:$AC$738 = 'CalHFA Addendum'!$B20),Application!$G$714:$G$738)</f>
        <v>0</v>
      </c>
      <c r="AC20" s="2286"/>
      <c r="AD20" s="2286"/>
      <c r="AE20" s="2286"/>
      <c r="AF20" s="2286"/>
      <c r="AG20" s="2287"/>
      <c r="AH20" s="2285" cm="1">
        <f t="array" ref="AH20">SUMPRODUCT((Application!$B$714:$B$738 = 'CalHFA Addendum'!AH$18)*(Application!$AC$714:$AC$738 = 'CalHFA Addendum'!$B20),Application!$G$714:$G$738)</f>
        <v>0</v>
      </c>
      <c r="AI20" s="2286"/>
      <c r="AJ20" s="2286"/>
      <c r="AK20" s="2286"/>
      <c r="AL20" s="2286"/>
      <c r="AM20" s="2287"/>
      <c r="AN20" s="2285" cm="1">
        <f t="array" ref="AN20">SUMPRODUCT((Application!$B$714:$B$738 = 'CalHFA Addendum'!AN$18)*(Application!$AC$714:$AC$738 = 'CalHFA Addendum'!$B20),Application!$G$714:$G$738)</f>
        <v>0</v>
      </c>
      <c r="AO20" s="2286"/>
      <c r="AP20" s="2286"/>
      <c r="AQ20" s="2286"/>
      <c r="AR20" s="2286"/>
      <c r="AS20" s="2287"/>
      <c r="AT20" s="2288">
        <f t="shared" si="1"/>
        <v>0</v>
      </c>
      <c r="AU20" s="2289"/>
      <c r="AV20" s="2289"/>
      <c r="AW20" s="2289"/>
      <c r="AX20" s="2289"/>
      <c r="AY20" s="2290"/>
      <c r="AZ20" s="1206"/>
      <c r="BA20" s="1206"/>
      <c r="BB20" s="1206"/>
      <c r="BC20" s="1206"/>
      <c r="BD20" s="1206"/>
      <c r="BE20" s="1202"/>
    </row>
    <row r="21" spans="1:58" ht="14.5">
      <c r="A21" s="1206"/>
      <c r="B21" s="2282">
        <v>0.5</v>
      </c>
      <c r="C21" s="2283"/>
      <c r="D21" s="2283"/>
      <c r="E21" s="2283"/>
      <c r="F21" s="2283"/>
      <c r="G21" s="2283"/>
      <c r="H21" s="2283"/>
      <c r="I21" s="2284"/>
      <c r="J21" s="2285">
        <f t="shared" si="0"/>
        <v>43</v>
      </c>
      <c r="K21" s="2286"/>
      <c r="L21" s="2286"/>
      <c r="M21" s="2286"/>
      <c r="N21" s="2286"/>
      <c r="O21" s="2287"/>
      <c r="P21" s="2285" cm="1">
        <f t="array" ref="P21">SUMPRODUCT((Application!$B$714:$B$738 = 'CalHFA Addendum'!P$18)*(Application!$AC$714:$AC$738 = 'CalHFA Addendum'!$B21),Application!$G$714:$G$738)</f>
        <v>43</v>
      </c>
      <c r="Q21" s="2286"/>
      <c r="R21" s="2286"/>
      <c r="S21" s="2286"/>
      <c r="T21" s="2286"/>
      <c r="U21" s="2287"/>
      <c r="V21" s="2285" cm="1">
        <f t="array" ref="V21">SUMPRODUCT((Application!$B$714:$B$738 = 'CalHFA Addendum'!V$18)*(Application!$AC$714:$AC$738 = 'CalHFA Addendum'!$B21),Application!$G$714:$G$738)</f>
        <v>0</v>
      </c>
      <c r="W21" s="2286"/>
      <c r="X21" s="2286"/>
      <c r="Y21" s="2286"/>
      <c r="Z21" s="2286"/>
      <c r="AA21" s="2287"/>
      <c r="AB21" s="2285" cm="1">
        <f t="array" ref="AB21">SUMPRODUCT((Application!$B$714:$B$738 = 'CalHFA Addendum'!AB$18)*(Application!$AC$714:$AC$738 = 'CalHFA Addendum'!$B21),Application!$G$714:$G$738)</f>
        <v>0</v>
      </c>
      <c r="AC21" s="2286"/>
      <c r="AD21" s="2286"/>
      <c r="AE21" s="2286"/>
      <c r="AF21" s="2286"/>
      <c r="AG21" s="2287"/>
      <c r="AH21" s="2285" cm="1">
        <f t="array" ref="AH21">SUMPRODUCT((Application!$B$714:$B$738 = 'CalHFA Addendum'!AH$18)*(Application!$AC$714:$AC$738 = 'CalHFA Addendum'!$B21),Application!$G$714:$G$738)</f>
        <v>0</v>
      </c>
      <c r="AI21" s="2286"/>
      <c r="AJ21" s="2286"/>
      <c r="AK21" s="2286"/>
      <c r="AL21" s="2286"/>
      <c r="AM21" s="2287"/>
      <c r="AN21" s="2285" cm="1">
        <f t="array" ref="AN21">SUMPRODUCT((Application!$B$714:$B$738 = 'CalHFA Addendum'!AN$18)*(Application!$AC$714:$AC$738 = 'CalHFA Addendum'!$B21),Application!$G$714:$G$738)</f>
        <v>0</v>
      </c>
      <c r="AO21" s="2286"/>
      <c r="AP21" s="2286"/>
      <c r="AQ21" s="2286"/>
      <c r="AR21" s="2286"/>
      <c r="AS21" s="2287"/>
      <c r="AT21" s="2288">
        <f t="shared" si="1"/>
        <v>0.24293785310734464</v>
      </c>
      <c r="AU21" s="2289"/>
      <c r="AV21" s="2289"/>
      <c r="AW21" s="2289"/>
      <c r="AX21" s="2289"/>
      <c r="AY21" s="2290"/>
      <c r="AZ21" s="1206"/>
      <c r="BA21" s="1206"/>
      <c r="BB21" s="1206"/>
      <c r="BC21" s="1206"/>
      <c r="BD21" s="1206"/>
      <c r="BE21" s="1202"/>
    </row>
    <row r="22" spans="1:58" ht="14.5">
      <c r="A22" s="1206"/>
      <c r="B22" s="2282">
        <v>0.6</v>
      </c>
      <c r="C22" s="2283"/>
      <c r="D22" s="2283"/>
      <c r="E22" s="2283"/>
      <c r="F22" s="2283"/>
      <c r="G22" s="2283"/>
      <c r="H22" s="2283"/>
      <c r="I22" s="2284"/>
      <c r="J22" s="2285">
        <f t="shared" si="0"/>
        <v>89</v>
      </c>
      <c r="K22" s="2286"/>
      <c r="L22" s="2286"/>
      <c r="M22" s="2286"/>
      <c r="N22" s="2286"/>
      <c r="O22" s="2287"/>
      <c r="P22" s="2285" cm="1">
        <f t="array" ref="P22">SUMPRODUCT((Application!$B$714:$B$738 = 'CalHFA Addendum'!P$18)*(Application!$AC$714:$AC$738 = 'CalHFA Addendum'!$B22),Application!$G$714:$G$738)</f>
        <v>89</v>
      </c>
      <c r="Q22" s="2286"/>
      <c r="R22" s="2286"/>
      <c r="S22" s="2286"/>
      <c r="T22" s="2286"/>
      <c r="U22" s="2287"/>
      <c r="V22" s="2285" cm="1">
        <f t="array" ref="V22">SUMPRODUCT((Application!$B$714:$B$738 = 'CalHFA Addendum'!V$18)*(Application!$AC$714:$AC$738 = 'CalHFA Addendum'!$B22),Application!$G$714:$G$738)</f>
        <v>0</v>
      </c>
      <c r="W22" s="2286"/>
      <c r="X22" s="2286"/>
      <c r="Y22" s="2286"/>
      <c r="Z22" s="2286"/>
      <c r="AA22" s="2287"/>
      <c r="AB22" s="2285" cm="1">
        <f t="array" ref="AB22">SUMPRODUCT((Application!$B$714:$B$738 = 'CalHFA Addendum'!AB$18)*(Application!$AC$714:$AC$738 = 'CalHFA Addendum'!$B22),Application!$G$714:$G$738)</f>
        <v>0</v>
      </c>
      <c r="AC22" s="2286"/>
      <c r="AD22" s="2286"/>
      <c r="AE22" s="2286"/>
      <c r="AF22" s="2286"/>
      <c r="AG22" s="2287"/>
      <c r="AH22" s="2285" cm="1">
        <f t="array" ref="AH22">SUMPRODUCT((Application!$B$714:$B$738 = 'CalHFA Addendum'!AH$18)*(Application!$AC$714:$AC$738 = 'CalHFA Addendum'!$B22),Application!$G$714:$G$738)</f>
        <v>0</v>
      </c>
      <c r="AI22" s="2286"/>
      <c r="AJ22" s="2286"/>
      <c r="AK22" s="2286"/>
      <c r="AL22" s="2286"/>
      <c r="AM22" s="2287"/>
      <c r="AN22" s="2285" cm="1">
        <f t="array" ref="AN22">SUMPRODUCT((Application!$B$714:$B$738 = 'CalHFA Addendum'!AN$18)*(Application!$AC$714:$AC$738 = 'CalHFA Addendum'!$B22),Application!$G$714:$G$738)</f>
        <v>0</v>
      </c>
      <c r="AO22" s="2286"/>
      <c r="AP22" s="2286"/>
      <c r="AQ22" s="2286"/>
      <c r="AR22" s="2286"/>
      <c r="AS22" s="2287"/>
      <c r="AT22" s="2288">
        <f t="shared" si="1"/>
        <v>0.50282485875706218</v>
      </c>
      <c r="AU22" s="2289"/>
      <c r="AV22" s="2289"/>
      <c r="AW22" s="2289"/>
      <c r="AX22" s="2289"/>
      <c r="AY22" s="2290"/>
      <c r="AZ22" s="1206"/>
      <c r="BA22" s="1206"/>
      <c r="BB22" s="1206"/>
      <c r="BC22" s="1206"/>
      <c r="BD22" s="1206"/>
      <c r="BE22" s="1202"/>
    </row>
    <row r="23" spans="1:58" ht="14.5">
      <c r="A23" s="1206"/>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88">
        <f t="shared" si="1"/>
        <v>0</v>
      </c>
      <c r="AU23" s="2289"/>
      <c r="AV23" s="2289"/>
      <c r="AW23" s="2289"/>
      <c r="AX23" s="2289"/>
      <c r="AY23" s="2290"/>
      <c r="AZ23" s="1206"/>
      <c r="BA23" s="1206"/>
      <c r="BB23" s="1206"/>
      <c r="BC23" s="1206"/>
      <c r="BD23" s="1206"/>
      <c r="BE23" s="1202"/>
    </row>
    <row r="24" spans="1:58" ht="14.5">
      <c r="A24" s="1206"/>
      <c r="B24" s="2282">
        <v>0.8</v>
      </c>
      <c r="C24" s="2283"/>
      <c r="D24" s="2283"/>
      <c r="E24" s="2283"/>
      <c r="F24" s="2283"/>
      <c r="G24" s="2283"/>
      <c r="H24" s="2283"/>
      <c r="I24" s="2284"/>
      <c r="J24" s="2285">
        <f t="shared" si="0"/>
        <v>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0</v>
      </c>
      <c r="W24" s="2286"/>
      <c r="X24" s="2286"/>
      <c r="Y24" s="2286"/>
      <c r="Z24" s="2286"/>
      <c r="AA24" s="2287"/>
      <c r="AB24" s="2285" cm="1">
        <f t="array" ref="AB24">SUMPRODUCT((Application!$B$714:$B$738 = 'CalHFA Addendum'!AB$18)*(Application!$AC$714:$AC$738 = 'CalHFA Addendum'!$B24),Application!$G$714:$G$738)</f>
        <v>0</v>
      </c>
      <c r="AC24" s="2286"/>
      <c r="AD24" s="2286"/>
      <c r="AE24" s="2286"/>
      <c r="AF24" s="2286"/>
      <c r="AG24" s="2287"/>
      <c r="AH24" s="2285" cm="1">
        <f t="array" ref="AH24">SUMPRODUCT((Application!$B$714:$B$738 = 'CalHFA Addendum'!AH$18)*(Application!$AC$714:$AC$738 = 'CalHFA Addendum'!$B24),Application!$G$714:$G$738)</f>
        <v>0</v>
      </c>
      <c r="AI24" s="2286"/>
      <c r="AJ24" s="2286"/>
      <c r="AK24" s="2286"/>
      <c r="AL24" s="2286"/>
      <c r="AM24" s="2287"/>
      <c r="AN24" s="2285" cm="1">
        <f t="array" ref="AN24">SUMPRODUCT((Application!$B$714:$B$738 = 'CalHFA Addendum'!AN$18)*(Application!$AC$714:$AC$738 = 'CalHFA Addendum'!$B24),Application!$G$714:$G$738)</f>
        <v>0</v>
      </c>
      <c r="AO24" s="2286"/>
      <c r="AP24" s="2286"/>
      <c r="AQ24" s="2286"/>
      <c r="AR24" s="2286"/>
      <c r="AS24" s="2287"/>
      <c r="AT24" s="2288">
        <f t="shared" si="1"/>
        <v>0</v>
      </c>
      <c r="AU24" s="2289"/>
      <c r="AV24" s="2289"/>
      <c r="AW24" s="2289"/>
      <c r="AX24" s="2289"/>
      <c r="AY24" s="2290"/>
      <c r="AZ24" s="1206"/>
      <c r="BA24" s="1206"/>
      <c r="BB24" s="1206"/>
      <c r="BC24" s="1206"/>
      <c r="BD24" s="1206"/>
      <c r="BE24" s="1202"/>
    </row>
    <row r="25" spans="1:58" ht="14.5">
      <c r="A25" s="1206"/>
      <c r="B25" s="2282">
        <v>0.9</v>
      </c>
      <c r="C25" s="2283"/>
      <c r="D25" s="2283"/>
      <c r="E25" s="2283"/>
      <c r="F25" s="2283"/>
      <c r="G25" s="2283"/>
      <c r="H25" s="2283"/>
      <c r="I25" s="2284"/>
      <c r="J25" s="2285">
        <f t="shared" si="0"/>
        <v>0</v>
      </c>
      <c r="K25" s="2286"/>
      <c r="L25" s="2286"/>
      <c r="M25" s="2286"/>
      <c r="N25" s="2286"/>
      <c r="O25" s="2287"/>
      <c r="P25" s="2285" cm="1">
        <f t="array" ref="P25">SUMPRODUCT((Application!$B$714:$B$738 = 'CalHFA Addendum'!P$18)*(Application!$AC$714:$AC$738 = 'CalHFA Addendum'!$B25),Application!$G$714:$G$738)</f>
        <v>0</v>
      </c>
      <c r="Q25" s="2286"/>
      <c r="R25" s="2286"/>
      <c r="S25" s="2286"/>
      <c r="T25" s="2286"/>
      <c r="U25" s="2287"/>
      <c r="V25" s="2285" cm="1">
        <f t="array" ref="V25">SUMPRODUCT((Application!$B$714:$B$738 = 'CalHFA Addendum'!V$18)*(Application!$AC$714:$AC$738 = 'CalHFA Addendum'!$B25),Application!$G$714:$G$738)</f>
        <v>0</v>
      </c>
      <c r="W25" s="2286"/>
      <c r="X25" s="2286"/>
      <c r="Y25" s="2286"/>
      <c r="Z25" s="2286"/>
      <c r="AA25" s="2287"/>
      <c r="AB25" s="2285" cm="1">
        <f t="array" ref="AB25">SUMPRODUCT((Application!$B$714:$B$738 = 'CalHFA Addendum'!AB$18)*(Application!$AC$714:$AC$738 = 'CalHFA Addendum'!$B25),Application!$G$714:$G$738)</f>
        <v>0</v>
      </c>
      <c r="AC25" s="2286"/>
      <c r="AD25" s="2286"/>
      <c r="AE25" s="2286"/>
      <c r="AF25" s="2286"/>
      <c r="AG25" s="2287"/>
      <c r="AH25" s="2285" cm="1">
        <f t="array" ref="AH25">SUMPRODUCT((Application!$B$714:$B$738 = 'CalHFA Addendum'!AH$18)*(Application!$AC$714:$AC$738 = 'CalHFA Addendum'!$B25),Application!$G$714:$G$738)</f>
        <v>0</v>
      </c>
      <c r="AI25" s="2286"/>
      <c r="AJ25" s="2286"/>
      <c r="AK25" s="2286"/>
      <c r="AL25" s="2286"/>
      <c r="AM25" s="2287"/>
      <c r="AN25" s="2285" cm="1">
        <f t="array" ref="AN25">SUMPRODUCT((Application!$B$714:$B$738 = 'CalHFA Addendum'!AN$18)*(Application!$AC$714:$AC$738 = 'CalHFA Addendum'!$B25),Application!$G$714:$G$738)</f>
        <v>0</v>
      </c>
      <c r="AO25" s="2286"/>
      <c r="AP25" s="2286"/>
      <c r="AQ25" s="2286"/>
      <c r="AR25" s="2286"/>
      <c r="AS25" s="2287"/>
      <c r="AT25" s="2288">
        <f t="shared" si="1"/>
        <v>0</v>
      </c>
      <c r="AU25" s="2289"/>
      <c r="AV25" s="2289"/>
      <c r="AW25" s="2289"/>
      <c r="AX25" s="2289"/>
      <c r="AY25" s="2290"/>
      <c r="AZ25" s="1206"/>
      <c r="BA25" s="1206"/>
      <c r="BB25" s="1206"/>
      <c r="BC25" s="1206"/>
      <c r="BD25" s="1206"/>
      <c r="BE25" s="1202"/>
    </row>
    <row r="26" spans="1:58" ht="14.5">
      <c r="A26" s="1206"/>
      <c r="B26" s="2282">
        <v>1</v>
      </c>
      <c r="C26" s="2283"/>
      <c r="D26" s="2283"/>
      <c r="E26" s="2283"/>
      <c r="F26" s="2283"/>
      <c r="G26" s="2283"/>
      <c r="H26" s="2283"/>
      <c r="I26" s="2284"/>
      <c r="J26" s="2285">
        <f t="shared" si="0"/>
        <v>0</v>
      </c>
      <c r="K26" s="2286"/>
      <c r="L26" s="2286"/>
      <c r="M26" s="2286"/>
      <c r="N26" s="2286"/>
      <c r="O26" s="2287"/>
      <c r="P26" s="2285" cm="1">
        <f t="array" ref="P26">SUMPRODUCT((Application!$B$714:$B$738 = 'CalHFA Addendum'!P$18)*(Application!$AC$714:$AC$738 = 'CalHFA Addendum'!$B26),Application!$G$714:$G$738)</f>
        <v>0</v>
      </c>
      <c r="Q26" s="2286"/>
      <c r="R26" s="2286"/>
      <c r="S26" s="2286"/>
      <c r="T26" s="2286"/>
      <c r="U26" s="2287"/>
      <c r="V26" s="2285" cm="1">
        <f t="array" ref="V26">SUMPRODUCT((Application!$B$714:$B$738 = 'CalHFA Addendum'!V$18)*(Application!$AC$714:$AC$738 = 'CalHFA Addendum'!$B26),Application!$G$714:$G$738)</f>
        <v>0</v>
      </c>
      <c r="W26" s="2286"/>
      <c r="X26" s="2286"/>
      <c r="Y26" s="2286"/>
      <c r="Z26" s="2286"/>
      <c r="AA26" s="2287"/>
      <c r="AB26" s="2285" cm="1">
        <f t="array" ref="AB26">SUMPRODUCT((Application!$B$714:$B$738 = 'CalHFA Addendum'!AB$18)*(Application!$AC$714:$AC$738 = 'CalHFA Addendum'!$B26),Application!$G$714:$G$738)</f>
        <v>0</v>
      </c>
      <c r="AC26" s="2286"/>
      <c r="AD26" s="2286"/>
      <c r="AE26" s="2286"/>
      <c r="AF26" s="2286"/>
      <c r="AG26" s="2287"/>
      <c r="AH26" s="2285" cm="1">
        <f t="array" ref="AH26">SUMPRODUCT((Application!$B$714:$B$738 = 'CalHFA Addendum'!AH$18)*(Application!$AC$714:$AC$738 = 'CalHFA Addendum'!$B26),Application!$G$714:$G$738)</f>
        <v>0</v>
      </c>
      <c r="AI26" s="2286"/>
      <c r="AJ26" s="2286"/>
      <c r="AK26" s="2286"/>
      <c r="AL26" s="2286"/>
      <c r="AM26" s="2287"/>
      <c r="AN26" s="2285" cm="1">
        <f t="array" ref="AN26">SUMPRODUCT((Application!$B$714:$B$738 = 'CalHFA Addendum'!AN$18)*(Application!$AC$714:$AC$738 = 'CalHFA Addendum'!$B26),Application!$G$714:$G$738)</f>
        <v>0</v>
      </c>
      <c r="AO26" s="2286"/>
      <c r="AP26" s="2286"/>
      <c r="AQ26" s="2286"/>
      <c r="AR26" s="2286"/>
      <c r="AS26" s="2287"/>
      <c r="AT26" s="2288">
        <f t="shared" si="1"/>
        <v>0</v>
      </c>
      <c r="AU26" s="2289"/>
      <c r="AV26" s="2289"/>
      <c r="AW26" s="2289"/>
      <c r="AX26" s="2289"/>
      <c r="AY26" s="2290"/>
      <c r="AZ26" s="1206"/>
      <c r="BA26" s="1206"/>
      <c r="BB26" s="1206"/>
      <c r="BC26" s="1206"/>
      <c r="BD26" s="1206"/>
      <c r="BE26" s="1202"/>
    </row>
    <row r="27" spans="1:58" ht="14.5">
      <c r="A27" s="1206"/>
      <c r="B27" s="2282">
        <v>1.1000000000000001</v>
      </c>
      <c r="C27" s="2283"/>
      <c r="D27" s="2283"/>
      <c r="E27" s="2283"/>
      <c r="F27" s="2283"/>
      <c r="G27" s="2283"/>
      <c r="H27" s="2283"/>
      <c r="I27" s="2284"/>
      <c r="J27" s="2285">
        <f t="shared" si="0"/>
        <v>0</v>
      </c>
      <c r="K27" s="2286"/>
      <c r="L27" s="2286"/>
      <c r="M27" s="2286"/>
      <c r="N27" s="2286"/>
      <c r="O27" s="2287"/>
      <c r="P27" s="2285" cm="1">
        <f t="array" ref="P27">SUMPRODUCT((Application!$B$714:$B$738 = 'CalHFA Addendum'!P$18)*(Application!$AC$714:$AC$738 = 'CalHFA Addendum'!$B27),Application!$G$714:$G$738)</f>
        <v>0</v>
      </c>
      <c r="Q27" s="2286"/>
      <c r="R27" s="2286"/>
      <c r="S27" s="2286"/>
      <c r="T27" s="2286"/>
      <c r="U27" s="2287"/>
      <c r="V27" s="2285" cm="1">
        <f t="array" ref="V27">SUMPRODUCT((Application!$B$714:$B$738 = 'CalHFA Addendum'!V$18)*(Application!$AC$714:$AC$738 = 'CalHFA Addendum'!$B27),Application!$G$714:$G$738)</f>
        <v>0</v>
      </c>
      <c r="W27" s="2286"/>
      <c r="X27" s="2286"/>
      <c r="Y27" s="2286"/>
      <c r="Z27" s="2286"/>
      <c r="AA27" s="2287"/>
      <c r="AB27" s="2285" cm="1">
        <f t="array" ref="AB27">SUMPRODUCT((Application!$B$714:$B$738 = 'CalHFA Addendum'!AB$18)*(Application!$AC$714:$AC$738 = 'CalHFA Addendum'!$B27),Application!$G$714:$G$738)</f>
        <v>0</v>
      </c>
      <c r="AC27" s="2286"/>
      <c r="AD27" s="2286"/>
      <c r="AE27" s="2286"/>
      <c r="AF27" s="2286"/>
      <c r="AG27" s="2287"/>
      <c r="AH27" s="2285" cm="1">
        <f t="array" ref="AH27">SUMPRODUCT((Application!$B$714:$B$738 = 'CalHFA Addendum'!AH$18)*(Application!$AC$714:$AC$738 = 'CalHFA Addendum'!$B27),Application!$G$714:$G$738)</f>
        <v>0</v>
      </c>
      <c r="AI27" s="2286"/>
      <c r="AJ27" s="2286"/>
      <c r="AK27" s="2286"/>
      <c r="AL27" s="2286"/>
      <c r="AM27" s="2287"/>
      <c r="AN27" s="2285" cm="1">
        <f t="array" ref="AN27">SUMPRODUCT((Application!$B$714:$B$738 = 'CalHFA Addendum'!AN$18)*(Application!$AC$714:$AC$738 = 'CalHFA Addendum'!$B27),Application!$G$714:$G$738)</f>
        <v>0</v>
      </c>
      <c r="AO27" s="2286"/>
      <c r="AP27" s="2286"/>
      <c r="AQ27" s="2286"/>
      <c r="AR27" s="2286"/>
      <c r="AS27" s="2287"/>
      <c r="AT27" s="2288">
        <f t="shared" si="1"/>
        <v>0</v>
      </c>
      <c r="AU27" s="2289"/>
      <c r="AV27" s="2289"/>
      <c r="AW27" s="2289"/>
      <c r="AX27" s="2289"/>
      <c r="AY27" s="2290"/>
      <c r="AZ27" s="1206"/>
      <c r="BA27" s="1206"/>
      <c r="BB27" s="1206"/>
      <c r="BC27" s="1206"/>
      <c r="BD27" s="1206"/>
      <c r="BE27" s="1202"/>
    </row>
    <row r="28" spans="1:58" ht="15" thickBot="1">
      <c r="A28" s="1206"/>
      <c r="B28" s="2301" t="s">
        <v>1799</v>
      </c>
      <c r="C28" s="2302"/>
      <c r="D28" s="2302"/>
      <c r="E28" s="2302"/>
      <c r="F28" s="2302"/>
      <c r="G28" s="2302"/>
      <c r="H28" s="2302"/>
      <c r="I28" s="2303"/>
      <c r="J28" s="2304">
        <f t="shared" si="0"/>
        <v>0</v>
      </c>
      <c r="K28" s="2305"/>
      <c r="L28" s="2305"/>
      <c r="M28" s="2305"/>
      <c r="N28" s="2305"/>
      <c r="O28" s="2306"/>
      <c r="P28" s="2304">
        <f>_xlfn.IFNA(VLOOKUP(P$18,Application!$J$758:$S$761,6,FALSE), 0)</f>
        <v>0</v>
      </c>
      <c r="Q28" s="2305"/>
      <c r="R28" s="2305"/>
      <c r="S28" s="2305"/>
      <c r="T28" s="2305"/>
      <c r="U28" s="2306"/>
      <c r="V28" s="2304">
        <f>_xlfn.IFNA(VLOOKUP(V$18,Application!$J$758:$S$761,6,FALSE), 0)</f>
        <v>0</v>
      </c>
      <c r="W28" s="2305"/>
      <c r="X28" s="2305"/>
      <c r="Y28" s="2305"/>
      <c r="Z28" s="2305"/>
      <c r="AA28" s="2306"/>
      <c r="AB28" s="2304">
        <f>_xlfn.IFNA(VLOOKUP(AB$18,Application!$J$758:$S$761,6,FALSE), 0)</f>
        <v>0</v>
      </c>
      <c r="AC28" s="2305"/>
      <c r="AD28" s="2305"/>
      <c r="AE28" s="2305"/>
      <c r="AF28" s="2305"/>
      <c r="AG28" s="2306"/>
      <c r="AH28" s="2304">
        <f>_xlfn.IFNA(VLOOKUP(AH$18,Application!$J$758:$S$761,6,FALSE), 0)</f>
        <v>0</v>
      </c>
      <c r="AI28" s="2305"/>
      <c r="AJ28" s="2305"/>
      <c r="AK28" s="2305"/>
      <c r="AL28" s="2305"/>
      <c r="AM28" s="2306"/>
      <c r="AN28" s="2304">
        <f>_xlfn.IFNA(VLOOKUP(AN$18,Application!$J$758:$S$761,6,FALSE), 0)</f>
        <v>0</v>
      </c>
      <c r="AO28" s="2305"/>
      <c r="AP28" s="2305"/>
      <c r="AQ28" s="2305"/>
      <c r="AR28" s="2305"/>
      <c r="AS28" s="2306"/>
      <c r="AT28" s="2307">
        <f t="shared" si="1"/>
        <v>0</v>
      </c>
      <c r="AU28" s="2308"/>
      <c r="AV28" s="2308"/>
      <c r="AW28" s="2308"/>
      <c r="AX28" s="2308"/>
      <c r="AY28" s="2309"/>
      <c r="AZ28" s="1206"/>
      <c r="BA28" s="1206"/>
      <c r="BB28" s="1206"/>
      <c r="BC28" s="1206"/>
      <c r="BD28" s="1206"/>
      <c r="BE28" s="1202"/>
    </row>
    <row r="29" spans="1:58" ht="15" thickBot="1">
      <c r="A29" s="1206"/>
      <c r="B29" s="2316" t="s">
        <v>1698</v>
      </c>
      <c r="C29" s="2317"/>
      <c r="D29" s="2317"/>
      <c r="E29" s="2317"/>
      <c r="F29" s="2317"/>
      <c r="G29" s="2317"/>
      <c r="H29" s="2317"/>
      <c r="I29" s="2318"/>
      <c r="J29" s="2319">
        <f>SUM(J19:O28)</f>
        <v>177</v>
      </c>
      <c r="K29" s="2317"/>
      <c r="L29" s="2317"/>
      <c r="M29" s="2317"/>
      <c r="N29" s="2317"/>
      <c r="O29" s="2318"/>
      <c r="P29" s="2319">
        <f>SUM(P19:U28)</f>
        <v>177</v>
      </c>
      <c r="Q29" s="2317"/>
      <c r="R29" s="2317"/>
      <c r="S29" s="2317"/>
      <c r="T29" s="2317"/>
      <c r="U29" s="2318"/>
      <c r="V29" s="2319">
        <f>SUM(V19:AA28)</f>
        <v>0</v>
      </c>
      <c r="W29" s="2317"/>
      <c r="X29" s="2317"/>
      <c r="Y29" s="2317"/>
      <c r="Z29" s="2317"/>
      <c r="AA29" s="2318"/>
      <c r="AB29" s="2319">
        <f>SUM(AB19:AG28)</f>
        <v>0</v>
      </c>
      <c r="AC29" s="2317"/>
      <c r="AD29" s="2317"/>
      <c r="AE29" s="2317"/>
      <c r="AF29" s="2317"/>
      <c r="AG29" s="2318"/>
      <c r="AH29" s="2319">
        <f>SUM(AH19:AM28)</f>
        <v>0</v>
      </c>
      <c r="AI29" s="2317"/>
      <c r="AJ29" s="2317"/>
      <c r="AK29" s="2317"/>
      <c r="AL29" s="2317"/>
      <c r="AM29" s="2318"/>
      <c r="AN29" s="2319">
        <f>SUM(AN19:AS28)</f>
        <v>0</v>
      </c>
      <c r="AO29" s="2317"/>
      <c r="AP29" s="2317"/>
      <c r="AQ29" s="2317"/>
      <c r="AR29" s="2317"/>
      <c r="AS29" s="2318"/>
      <c r="AT29" s="2336">
        <f t="shared" si="1"/>
        <v>1</v>
      </c>
      <c r="AU29" s="2337"/>
      <c r="AV29" s="2337"/>
      <c r="AW29" s="2337"/>
      <c r="AX29" s="2337"/>
      <c r="AY29" s="2338"/>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4" t="s">
        <v>1800</v>
      </c>
      <c r="C31" s="2325"/>
      <c r="D31" s="2325"/>
      <c r="E31" s="2325"/>
      <c r="F31" s="2325"/>
      <c r="G31" s="2325"/>
      <c r="H31" s="2325"/>
      <c r="I31" s="2325"/>
      <c r="J31" s="2325"/>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5"/>
      <c r="AG31" s="2325"/>
      <c r="AH31" s="2325"/>
      <c r="AI31" s="2325"/>
      <c r="AJ31" s="2325"/>
      <c r="AK31" s="2325"/>
      <c r="AL31" s="2325"/>
      <c r="AM31" s="2325"/>
      <c r="AN31" s="2325"/>
      <c r="AO31" s="2325"/>
      <c r="AP31" s="2325"/>
      <c r="AQ31" s="2325"/>
      <c r="AR31" s="2325"/>
      <c r="AS31" s="2325"/>
      <c r="AT31" s="2325"/>
      <c r="AU31" s="2325"/>
      <c r="AV31" s="2325"/>
      <c r="AW31" s="2325"/>
      <c r="AX31" s="2325"/>
      <c r="AY31" s="2325"/>
      <c r="AZ31" s="2325"/>
      <c r="BA31" s="2325"/>
      <c r="BB31" s="2325"/>
      <c r="BC31" s="2325"/>
      <c r="BD31" s="2326"/>
      <c r="BE31" s="1202"/>
    </row>
    <row r="32" spans="1:58" ht="15" thickBot="1">
      <c r="A32" s="1206"/>
      <c r="B32" s="2339" t="s">
        <v>2473</v>
      </c>
      <c r="C32" s="2340"/>
      <c r="D32" s="2340"/>
      <c r="E32" s="2340"/>
      <c r="F32" s="2340"/>
      <c r="G32" s="2340"/>
      <c r="H32" s="2340"/>
      <c r="I32" s="2340"/>
      <c r="J32" s="2310" t="s">
        <v>2474</v>
      </c>
      <c r="K32" s="2311"/>
      <c r="L32" s="2311"/>
      <c r="M32" s="2311"/>
      <c r="N32" s="2310" t="s">
        <v>1801</v>
      </c>
      <c r="O32" s="2311"/>
      <c r="P32" s="2311"/>
      <c r="Q32" s="2313"/>
      <c r="R32" s="2333" t="s">
        <v>1802</v>
      </c>
      <c r="S32" s="2334"/>
      <c r="T32" s="2334"/>
      <c r="U32" s="2334"/>
      <c r="V32" s="2334"/>
      <c r="W32" s="2334"/>
      <c r="X32" s="2334"/>
      <c r="Y32" s="2334"/>
      <c r="Z32" s="2334"/>
      <c r="AA32" s="2334"/>
      <c r="AB32" s="2334"/>
      <c r="AC32" s="2334"/>
      <c r="AD32" s="2334"/>
      <c r="AE32" s="2334"/>
      <c r="AF32" s="2334"/>
      <c r="AG32" s="2334"/>
      <c r="AH32" s="2334"/>
      <c r="AI32" s="2334"/>
      <c r="AJ32" s="2334"/>
      <c r="AK32" s="2334"/>
      <c r="AL32" s="2334"/>
      <c r="AM32" s="2334"/>
      <c r="AN32" s="2334"/>
      <c r="AO32" s="2334"/>
      <c r="AP32" s="2334"/>
      <c r="AQ32" s="2334"/>
      <c r="AR32" s="2334"/>
      <c r="AS32" s="2334"/>
      <c r="AT32" s="2334"/>
      <c r="AU32" s="2334"/>
      <c r="AV32" s="2334"/>
      <c r="AW32" s="2334"/>
      <c r="AX32" s="2334"/>
      <c r="AY32" s="2334"/>
      <c r="AZ32" s="2334"/>
      <c r="BA32" s="2334"/>
      <c r="BB32" s="2334"/>
      <c r="BC32" s="2334"/>
      <c r="BD32" s="2335"/>
      <c r="BE32" s="1202"/>
    </row>
    <row r="33" spans="1:58" ht="15" customHeight="1">
      <c r="A33" s="1206"/>
      <c r="B33" s="2341"/>
      <c r="C33" s="2342"/>
      <c r="D33" s="2342"/>
      <c r="E33" s="2342"/>
      <c r="F33" s="2342"/>
      <c r="G33" s="2342"/>
      <c r="H33" s="2342"/>
      <c r="I33" s="2342"/>
      <c r="J33" s="2312"/>
      <c r="K33" s="2312"/>
      <c r="L33" s="2312"/>
      <c r="M33" s="2312"/>
      <c r="N33" s="2312"/>
      <c r="O33" s="2312"/>
      <c r="P33" s="2312"/>
      <c r="Q33" s="2314"/>
      <c r="R33" s="2327" t="s">
        <v>1803</v>
      </c>
      <c r="S33" s="2328"/>
      <c r="T33" s="2328"/>
      <c r="U33" s="2328"/>
      <c r="V33" s="2328"/>
      <c r="W33" s="2328"/>
      <c r="X33" s="2328"/>
      <c r="Y33" s="2328"/>
      <c r="Z33" s="2328"/>
      <c r="AA33" s="2328"/>
      <c r="AB33" s="2328"/>
      <c r="AC33" s="2328"/>
      <c r="AD33" s="2328"/>
      <c r="AE33" s="2328"/>
      <c r="AF33" s="2328"/>
      <c r="AG33" s="2328"/>
      <c r="AH33" s="2328"/>
      <c r="AI33" s="2328"/>
      <c r="AJ33" s="2328"/>
      <c r="AK33" s="2328"/>
      <c r="AL33" s="2328"/>
      <c r="AM33" s="2328"/>
      <c r="AN33" s="2328"/>
      <c r="AO33" s="2328"/>
      <c r="AP33" s="2328"/>
      <c r="AQ33" s="2328"/>
      <c r="AR33" s="2328"/>
      <c r="AS33" s="2328"/>
      <c r="AT33" s="2328"/>
      <c r="AU33" s="2328"/>
      <c r="AV33" s="2328"/>
      <c r="AW33" s="2328"/>
      <c r="AX33" s="2328"/>
      <c r="AY33" s="2328"/>
      <c r="AZ33" s="2328"/>
      <c r="BA33" s="2328"/>
      <c r="BB33" s="2328"/>
      <c r="BC33" s="2328"/>
      <c r="BD33" s="2329"/>
      <c r="BE33" s="1202"/>
    </row>
    <row r="34" spans="1:58" ht="15.75" customHeight="1" thickBot="1">
      <c r="A34" s="1206"/>
      <c r="B34" s="2341"/>
      <c r="C34" s="2342"/>
      <c r="D34" s="2342"/>
      <c r="E34" s="2342"/>
      <c r="F34" s="2342"/>
      <c r="G34" s="2342"/>
      <c r="H34" s="2342"/>
      <c r="I34" s="2342"/>
      <c r="J34" s="2312"/>
      <c r="K34" s="2312"/>
      <c r="L34" s="2312"/>
      <c r="M34" s="2312"/>
      <c r="N34" s="2312"/>
      <c r="O34" s="2312"/>
      <c r="P34" s="2312"/>
      <c r="Q34" s="2314"/>
      <c r="R34" s="2330"/>
      <c r="S34" s="2331"/>
      <c r="T34" s="2331"/>
      <c r="U34" s="2331"/>
      <c r="V34" s="2331"/>
      <c r="W34" s="2331"/>
      <c r="X34" s="2331"/>
      <c r="Y34" s="2331"/>
      <c r="Z34" s="2331"/>
      <c r="AA34" s="2331"/>
      <c r="AB34" s="2331"/>
      <c r="AC34" s="2331"/>
      <c r="AD34" s="2331"/>
      <c r="AE34" s="2331"/>
      <c r="AF34" s="2331"/>
      <c r="AG34" s="2331"/>
      <c r="AH34" s="2331"/>
      <c r="AI34" s="2331"/>
      <c r="AJ34" s="2331"/>
      <c r="AK34" s="2331"/>
      <c r="AL34" s="2331"/>
      <c r="AM34" s="2331"/>
      <c r="AN34" s="2331"/>
      <c r="AO34" s="2331"/>
      <c r="AP34" s="2331"/>
      <c r="AQ34" s="2331"/>
      <c r="AR34" s="2331"/>
      <c r="AS34" s="2331"/>
      <c r="AT34" s="2331"/>
      <c r="AU34" s="2331"/>
      <c r="AV34" s="2331"/>
      <c r="AW34" s="2331"/>
      <c r="AX34" s="2331"/>
      <c r="AY34" s="2331"/>
      <c r="AZ34" s="2331"/>
      <c r="BA34" s="2331"/>
      <c r="BB34" s="2331"/>
      <c r="BC34" s="2331"/>
      <c r="BD34" s="2332"/>
      <c r="BE34" s="1202"/>
    </row>
    <row r="35" spans="1:58" ht="15.75" customHeight="1">
      <c r="A35" s="1206"/>
      <c r="B35" s="2341"/>
      <c r="C35" s="2342"/>
      <c r="D35" s="2342"/>
      <c r="E35" s="2342"/>
      <c r="F35" s="2342"/>
      <c r="G35" s="2342"/>
      <c r="H35" s="2342"/>
      <c r="I35" s="2342"/>
      <c r="J35" s="2312"/>
      <c r="K35" s="2312"/>
      <c r="L35" s="2312"/>
      <c r="M35" s="2312"/>
      <c r="N35" s="2312"/>
      <c r="O35" s="2312"/>
      <c r="P35" s="2312"/>
      <c r="Q35" s="2312"/>
      <c r="R35" s="2315">
        <v>0.3</v>
      </c>
      <c r="S35" s="2315"/>
      <c r="T35" s="2315"/>
      <c r="U35" s="2315"/>
      <c r="V35" s="2315">
        <v>0.4</v>
      </c>
      <c r="W35" s="2315"/>
      <c r="X35" s="2315"/>
      <c r="Y35" s="2315"/>
      <c r="Z35" s="2315">
        <v>0.5</v>
      </c>
      <c r="AA35" s="2315"/>
      <c r="AB35" s="2315"/>
      <c r="AC35" s="2315"/>
      <c r="AD35" s="2315">
        <v>0.6</v>
      </c>
      <c r="AE35" s="2315"/>
      <c r="AF35" s="2315"/>
      <c r="AG35" s="2315"/>
      <c r="AH35" s="2315">
        <v>0.7</v>
      </c>
      <c r="AI35" s="2315"/>
      <c r="AJ35" s="2315"/>
      <c r="AK35" s="2315"/>
      <c r="AL35" s="2291">
        <v>0.8</v>
      </c>
      <c r="AM35" s="2292"/>
      <c r="AN35" s="2292"/>
      <c r="AO35" s="2293"/>
      <c r="AP35" s="2294">
        <v>1.2</v>
      </c>
      <c r="AQ35" s="2295"/>
      <c r="AR35" s="2296"/>
      <c r="AS35" s="2297" t="s">
        <v>1804</v>
      </c>
      <c r="AT35" s="2298"/>
      <c r="AU35" s="2298"/>
      <c r="AV35" s="2298"/>
      <c r="AW35" s="2298"/>
      <c r="AX35" s="2299"/>
      <c r="AY35" s="2297" t="s">
        <v>1805</v>
      </c>
      <c r="AZ35" s="2298"/>
      <c r="BA35" s="2298"/>
      <c r="BB35" s="2298"/>
      <c r="BC35" s="2298"/>
      <c r="BD35" s="2300"/>
      <c r="BE35" s="1202"/>
    </row>
    <row r="36" spans="1:58" ht="15.75" customHeight="1">
      <c r="A36" s="1206"/>
      <c r="B36" s="2320" t="s">
        <v>1806</v>
      </c>
      <c r="C36" s="2321"/>
      <c r="D36" s="2321"/>
      <c r="E36" s="2321"/>
      <c r="F36" s="2321"/>
      <c r="G36" s="2321"/>
      <c r="H36" s="2321"/>
      <c r="I36" s="2321"/>
      <c r="J36" s="2322" t="s">
        <v>1807</v>
      </c>
      <c r="K36" s="2322"/>
      <c r="L36" s="2322"/>
      <c r="M36" s="2322"/>
      <c r="N36" s="2322">
        <v>55</v>
      </c>
      <c r="O36" s="2322"/>
      <c r="P36" s="2322"/>
      <c r="Q36" s="2322"/>
      <c r="R36" s="2323">
        <v>0</v>
      </c>
      <c r="S36" s="2323"/>
      <c r="T36" s="2323"/>
      <c r="U36" s="2323"/>
      <c r="V36" s="2323">
        <v>0</v>
      </c>
      <c r="W36" s="2323"/>
      <c r="X36" s="2323"/>
      <c r="Y36" s="2323"/>
      <c r="Z36" s="2323">
        <v>10</v>
      </c>
      <c r="AA36" s="2323"/>
      <c r="AB36" s="2323"/>
      <c r="AC36" s="2323"/>
      <c r="AD36" s="2323">
        <v>10</v>
      </c>
      <c r="AE36" s="2323"/>
      <c r="AF36" s="2323"/>
      <c r="AG36" s="2323"/>
      <c r="AH36" s="2323">
        <v>30</v>
      </c>
      <c r="AI36" s="2323"/>
      <c r="AJ36" s="2323"/>
      <c r="AK36" s="2323"/>
      <c r="AL36" s="2343">
        <v>0</v>
      </c>
      <c r="AM36" s="2344"/>
      <c r="AN36" s="2344"/>
      <c r="AO36" s="2345"/>
      <c r="AP36" s="2343">
        <v>0</v>
      </c>
      <c r="AQ36" s="2344"/>
      <c r="AR36" s="2345"/>
      <c r="AS36" s="2346">
        <f t="shared" ref="AS36:AS47" si="2">SUM(R36:AR36)</f>
        <v>50</v>
      </c>
      <c r="AT36" s="2347"/>
      <c r="AU36" s="2347"/>
      <c r="AV36" s="2347"/>
      <c r="AW36" s="2347"/>
      <c r="AX36" s="2348"/>
      <c r="AY36" s="2349">
        <f t="shared" ref="AY36:AY47" si="3">AS36/$J$29</f>
        <v>0.2824858757062147</v>
      </c>
      <c r="AZ36" s="2350"/>
      <c r="BA36" s="2350"/>
      <c r="BB36" s="2350"/>
      <c r="BC36" s="2350"/>
      <c r="BD36" s="2351"/>
      <c r="BE36" s="1202"/>
    </row>
    <row r="37" spans="1:58" ht="15.75" customHeight="1">
      <c r="A37" s="1206"/>
      <c r="B37" s="2320" t="s">
        <v>2475</v>
      </c>
      <c r="C37" s="2321"/>
      <c r="D37" s="2321"/>
      <c r="E37" s="2321"/>
      <c r="F37" s="2321"/>
      <c r="G37" s="2321"/>
      <c r="H37" s="2321"/>
      <c r="I37" s="2321"/>
      <c r="J37" s="2322" t="s">
        <v>1808</v>
      </c>
      <c r="K37" s="2322"/>
      <c r="L37" s="2322"/>
      <c r="M37" s="2322"/>
      <c r="N37" s="2322">
        <v>55</v>
      </c>
      <c r="O37" s="2322"/>
      <c r="P37" s="2322"/>
      <c r="Q37" s="2322"/>
      <c r="R37" s="2323">
        <v>10</v>
      </c>
      <c r="S37" s="2323"/>
      <c r="T37" s="2323"/>
      <c r="U37" s="2323"/>
      <c r="V37" s="2323"/>
      <c r="W37" s="2323"/>
      <c r="X37" s="2323"/>
      <c r="Y37" s="2323"/>
      <c r="Z37" s="2323"/>
      <c r="AA37" s="2323"/>
      <c r="AB37" s="2323"/>
      <c r="AC37" s="2323"/>
      <c r="AD37" s="2323"/>
      <c r="AE37" s="2323"/>
      <c r="AF37" s="2323"/>
      <c r="AG37" s="2323"/>
      <c r="AH37" s="2323"/>
      <c r="AI37" s="2323"/>
      <c r="AJ37" s="2323"/>
      <c r="AK37" s="2323"/>
      <c r="AL37" s="2343"/>
      <c r="AM37" s="2344"/>
      <c r="AN37" s="2344"/>
      <c r="AO37" s="2345"/>
      <c r="AP37" s="2343"/>
      <c r="AQ37" s="2344"/>
      <c r="AR37" s="2345"/>
      <c r="AS37" s="2346">
        <f t="shared" si="2"/>
        <v>10</v>
      </c>
      <c r="AT37" s="2347"/>
      <c r="AU37" s="2347"/>
      <c r="AV37" s="2347"/>
      <c r="AW37" s="2347"/>
      <c r="AX37" s="2348"/>
      <c r="AY37" s="2349">
        <f t="shared" si="3"/>
        <v>5.6497175141242938E-2</v>
      </c>
      <c r="AZ37" s="2350"/>
      <c r="BA37" s="2350"/>
      <c r="BB37" s="2350"/>
      <c r="BC37" s="2350"/>
      <c r="BD37" s="2351"/>
      <c r="BE37" s="1202"/>
    </row>
    <row r="38" spans="1:58" ht="15.75" customHeight="1">
      <c r="A38" s="1206"/>
      <c r="B38" s="2320" t="s">
        <v>2414</v>
      </c>
      <c r="C38" s="2321"/>
      <c r="D38" s="2321"/>
      <c r="E38" s="2321"/>
      <c r="F38" s="2321"/>
      <c r="G38" s="2321"/>
      <c r="H38" s="2321"/>
      <c r="I38" s="2321"/>
      <c r="J38" s="2322" t="s">
        <v>1809</v>
      </c>
      <c r="K38" s="2322"/>
      <c r="L38" s="2322"/>
      <c r="M38" s="2322"/>
      <c r="N38" s="2322">
        <v>55</v>
      </c>
      <c r="O38" s="2322"/>
      <c r="P38" s="2322"/>
      <c r="Q38" s="2322"/>
      <c r="R38" s="2323"/>
      <c r="S38" s="2323"/>
      <c r="T38" s="2323"/>
      <c r="U38" s="2323"/>
      <c r="V38" s="2323"/>
      <c r="W38" s="2323"/>
      <c r="X38" s="2323"/>
      <c r="Y38" s="2323"/>
      <c r="Z38" s="2323"/>
      <c r="AA38" s="2323"/>
      <c r="AB38" s="2323"/>
      <c r="AC38" s="2323"/>
      <c r="AD38" s="2323"/>
      <c r="AE38" s="2323"/>
      <c r="AF38" s="2323"/>
      <c r="AG38" s="2323"/>
      <c r="AH38" s="2323"/>
      <c r="AI38" s="2323"/>
      <c r="AJ38" s="2323"/>
      <c r="AK38" s="2323"/>
      <c r="AL38" s="2343"/>
      <c r="AM38" s="2344"/>
      <c r="AN38" s="2344"/>
      <c r="AO38" s="2345"/>
      <c r="AP38" s="2343"/>
      <c r="AQ38" s="2344"/>
      <c r="AR38" s="2345"/>
      <c r="AS38" s="2346">
        <f t="shared" si="2"/>
        <v>0</v>
      </c>
      <c r="AT38" s="2347"/>
      <c r="AU38" s="2347"/>
      <c r="AV38" s="2347"/>
      <c r="AW38" s="2347"/>
      <c r="AX38" s="2348"/>
      <c r="AY38" s="2349">
        <f t="shared" si="3"/>
        <v>0</v>
      </c>
      <c r="AZ38" s="2350"/>
      <c r="BA38" s="2350"/>
      <c r="BB38" s="2350"/>
      <c r="BC38" s="2350"/>
      <c r="BD38" s="2351"/>
      <c r="BE38" s="1202"/>
    </row>
    <row r="39" spans="1:58" ht="15.75" customHeight="1">
      <c r="A39" s="1206"/>
      <c r="B39" s="2320" t="s">
        <v>1810</v>
      </c>
      <c r="C39" s="2321"/>
      <c r="D39" s="2321"/>
      <c r="E39" s="2321"/>
      <c r="F39" s="2321"/>
      <c r="G39" s="2321"/>
      <c r="H39" s="2321"/>
      <c r="I39" s="2321"/>
      <c r="J39" s="2322"/>
      <c r="K39" s="2322"/>
      <c r="L39" s="2322"/>
      <c r="M39" s="2322"/>
      <c r="N39" s="2322"/>
      <c r="O39" s="2322"/>
      <c r="P39" s="2322"/>
      <c r="Q39" s="2322"/>
      <c r="R39" s="2323"/>
      <c r="S39" s="2323"/>
      <c r="T39" s="2323"/>
      <c r="U39" s="2323"/>
      <c r="V39" s="2323"/>
      <c r="W39" s="2323"/>
      <c r="X39" s="2323"/>
      <c r="Y39" s="2323"/>
      <c r="Z39" s="2323"/>
      <c r="AA39" s="2323"/>
      <c r="AB39" s="2323"/>
      <c r="AC39" s="2323"/>
      <c r="AD39" s="2323"/>
      <c r="AE39" s="2323"/>
      <c r="AF39" s="2323"/>
      <c r="AG39" s="2323"/>
      <c r="AH39" s="2323"/>
      <c r="AI39" s="2323"/>
      <c r="AJ39" s="2323"/>
      <c r="AK39" s="2323"/>
      <c r="AL39" s="2343"/>
      <c r="AM39" s="2344"/>
      <c r="AN39" s="2344"/>
      <c r="AO39" s="2345"/>
      <c r="AP39" s="2343"/>
      <c r="AQ39" s="2344"/>
      <c r="AR39" s="2345"/>
      <c r="AS39" s="2346">
        <f t="shared" si="2"/>
        <v>0</v>
      </c>
      <c r="AT39" s="2347"/>
      <c r="AU39" s="2347"/>
      <c r="AV39" s="2347"/>
      <c r="AW39" s="2347"/>
      <c r="AX39" s="2348"/>
      <c r="AY39" s="2349">
        <f t="shared" si="3"/>
        <v>0</v>
      </c>
      <c r="AZ39" s="2350"/>
      <c r="BA39" s="2350"/>
      <c r="BB39" s="2350"/>
      <c r="BC39" s="2350"/>
      <c r="BD39" s="2351"/>
      <c r="BE39" s="1202"/>
    </row>
    <row r="40" spans="1:58" ht="15.75" customHeight="1">
      <c r="A40" s="1206"/>
      <c r="B40" s="2320" t="s">
        <v>1810</v>
      </c>
      <c r="C40" s="2321"/>
      <c r="D40" s="2321"/>
      <c r="E40" s="2321"/>
      <c r="F40" s="2321"/>
      <c r="G40" s="2321"/>
      <c r="H40" s="2321"/>
      <c r="I40" s="2321"/>
      <c r="J40" s="2322"/>
      <c r="K40" s="2322"/>
      <c r="L40" s="2322"/>
      <c r="M40" s="2322"/>
      <c r="N40" s="2322"/>
      <c r="O40" s="2322"/>
      <c r="P40" s="2322"/>
      <c r="Q40" s="2322"/>
      <c r="R40" s="2323"/>
      <c r="S40" s="2323"/>
      <c r="T40" s="2323"/>
      <c r="U40" s="2323"/>
      <c r="V40" s="2323"/>
      <c r="W40" s="2323"/>
      <c r="X40" s="2323"/>
      <c r="Y40" s="2323"/>
      <c r="Z40" s="2323"/>
      <c r="AA40" s="2323"/>
      <c r="AB40" s="2323"/>
      <c r="AC40" s="2323"/>
      <c r="AD40" s="2323"/>
      <c r="AE40" s="2323"/>
      <c r="AF40" s="2323"/>
      <c r="AG40" s="2323"/>
      <c r="AH40" s="2323"/>
      <c r="AI40" s="2323"/>
      <c r="AJ40" s="2323"/>
      <c r="AK40" s="2323"/>
      <c r="AL40" s="2343"/>
      <c r="AM40" s="2344"/>
      <c r="AN40" s="2344"/>
      <c r="AO40" s="2345"/>
      <c r="AP40" s="2343"/>
      <c r="AQ40" s="2344"/>
      <c r="AR40" s="2345"/>
      <c r="AS40" s="2346">
        <f t="shared" si="2"/>
        <v>0</v>
      </c>
      <c r="AT40" s="2347"/>
      <c r="AU40" s="2347"/>
      <c r="AV40" s="2347"/>
      <c r="AW40" s="2347"/>
      <c r="AX40" s="2348"/>
      <c r="AY40" s="2349">
        <f t="shared" si="3"/>
        <v>0</v>
      </c>
      <c r="AZ40" s="2350"/>
      <c r="BA40" s="2350"/>
      <c r="BB40" s="2350"/>
      <c r="BC40" s="2350"/>
      <c r="BD40" s="2351"/>
      <c r="BE40" s="1202"/>
    </row>
    <row r="41" spans="1:58" ht="15.75" customHeight="1">
      <c r="A41" s="1206"/>
      <c r="B41" s="2320" t="s">
        <v>1811</v>
      </c>
      <c r="C41" s="2321"/>
      <c r="D41" s="2321"/>
      <c r="E41" s="2321"/>
      <c r="F41" s="2321"/>
      <c r="G41" s="2321"/>
      <c r="H41" s="2321"/>
      <c r="I41" s="2321"/>
      <c r="J41" s="2322"/>
      <c r="K41" s="2322"/>
      <c r="L41" s="2322"/>
      <c r="M41" s="2322"/>
      <c r="N41" s="2322"/>
      <c r="O41" s="2322"/>
      <c r="P41" s="2322"/>
      <c r="Q41" s="2322"/>
      <c r="R41" s="2323"/>
      <c r="S41" s="2323"/>
      <c r="T41" s="2323"/>
      <c r="U41" s="2323"/>
      <c r="V41" s="2323"/>
      <c r="W41" s="2323"/>
      <c r="X41" s="2323"/>
      <c r="Y41" s="2323"/>
      <c r="Z41" s="2323"/>
      <c r="AA41" s="2323"/>
      <c r="AB41" s="2323"/>
      <c r="AC41" s="2323"/>
      <c r="AD41" s="2323"/>
      <c r="AE41" s="2323"/>
      <c r="AF41" s="2323"/>
      <c r="AG41" s="2323"/>
      <c r="AH41" s="2323"/>
      <c r="AI41" s="2323"/>
      <c r="AJ41" s="2323"/>
      <c r="AK41" s="2323"/>
      <c r="AL41" s="2343"/>
      <c r="AM41" s="2344"/>
      <c r="AN41" s="2344"/>
      <c r="AO41" s="2345"/>
      <c r="AP41" s="2343"/>
      <c r="AQ41" s="2344"/>
      <c r="AR41" s="2345"/>
      <c r="AS41" s="2346">
        <f t="shared" si="2"/>
        <v>0</v>
      </c>
      <c r="AT41" s="2347"/>
      <c r="AU41" s="2347"/>
      <c r="AV41" s="2347"/>
      <c r="AW41" s="2347"/>
      <c r="AX41" s="2348"/>
      <c r="AY41" s="2349">
        <f t="shared" si="3"/>
        <v>0</v>
      </c>
      <c r="AZ41" s="2350"/>
      <c r="BA41" s="2350"/>
      <c r="BB41" s="2350"/>
      <c r="BC41" s="2350"/>
      <c r="BD41" s="2351"/>
      <c r="BE41" s="1202"/>
    </row>
    <row r="42" spans="1:58" ht="15.75" customHeight="1">
      <c r="A42" s="1206"/>
      <c r="B42" s="2320" t="s">
        <v>1811</v>
      </c>
      <c r="C42" s="2321"/>
      <c r="D42" s="2321"/>
      <c r="E42" s="2321"/>
      <c r="F42" s="2321"/>
      <c r="G42" s="2321"/>
      <c r="H42" s="2321"/>
      <c r="I42" s="2321"/>
      <c r="J42" s="2322"/>
      <c r="K42" s="2322"/>
      <c r="L42" s="2322"/>
      <c r="M42" s="2322"/>
      <c r="N42" s="2322"/>
      <c r="O42" s="2322"/>
      <c r="P42" s="2322"/>
      <c r="Q42" s="2322"/>
      <c r="R42" s="2323"/>
      <c r="S42" s="2323"/>
      <c r="T42" s="2323"/>
      <c r="U42" s="2323"/>
      <c r="V42" s="2323"/>
      <c r="W42" s="2323"/>
      <c r="X42" s="2323"/>
      <c r="Y42" s="2323"/>
      <c r="Z42" s="2323"/>
      <c r="AA42" s="2323"/>
      <c r="AB42" s="2323"/>
      <c r="AC42" s="2323"/>
      <c r="AD42" s="2323"/>
      <c r="AE42" s="2323"/>
      <c r="AF42" s="2323"/>
      <c r="AG42" s="2323"/>
      <c r="AH42" s="2323"/>
      <c r="AI42" s="2323"/>
      <c r="AJ42" s="2323"/>
      <c r="AK42" s="2323"/>
      <c r="AL42" s="2343"/>
      <c r="AM42" s="2344"/>
      <c r="AN42" s="2344"/>
      <c r="AO42" s="2345"/>
      <c r="AP42" s="2343"/>
      <c r="AQ42" s="2344"/>
      <c r="AR42" s="2345"/>
      <c r="AS42" s="2346">
        <f t="shared" si="2"/>
        <v>0</v>
      </c>
      <c r="AT42" s="2347"/>
      <c r="AU42" s="2347"/>
      <c r="AV42" s="2347"/>
      <c r="AW42" s="2347"/>
      <c r="AX42" s="2348"/>
      <c r="AY42" s="2349">
        <f t="shared" si="3"/>
        <v>0</v>
      </c>
      <c r="AZ42" s="2350"/>
      <c r="BA42" s="2350"/>
      <c r="BB42" s="2350"/>
      <c r="BC42" s="2350"/>
      <c r="BD42" s="2351"/>
      <c r="BE42" s="1202"/>
    </row>
    <row r="43" spans="1:58" ht="15.75" customHeight="1">
      <c r="A43" s="1206"/>
      <c r="B43" s="2352" t="s">
        <v>1812</v>
      </c>
      <c r="C43" s="2353"/>
      <c r="D43" s="2353"/>
      <c r="E43" s="2353"/>
      <c r="F43" s="2353"/>
      <c r="G43" s="2353"/>
      <c r="H43" s="2353"/>
      <c r="I43" s="2353"/>
      <c r="J43" s="2322"/>
      <c r="K43" s="2322"/>
      <c r="L43" s="2322"/>
      <c r="M43" s="2322"/>
      <c r="N43" s="2322"/>
      <c r="O43" s="2322"/>
      <c r="P43" s="2322"/>
      <c r="Q43" s="2322"/>
      <c r="R43" s="2323"/>
      <c r="S43" s="2323"/>
      <c r="T43" s="2323"/>
      <c r="U43" s="2323"/>
      <c r="V43" s="2323"/>
      <c r="W43" s="2323"/>
      <c r="X43" s="2323"/>
      <c r="Y43" s="2323"/>
      <c r="Z43" s="2323"/>
      <c r="AA43" s="2323"/>
      <c r="AB43" s="2323"/>
      <c r="AC43" s="2323"/>
      <c r="AD43" s="2323"/>
      <c r="AE43" s="2323"/>
      <c r="AF43" s="2323"/>
      <c r="AG43" s="2323"/>
      <c r="AH43" s="2323"/>
      <c r="AI43" s="2323"/>
      <c r="AJ43" s="2323"/>
      <c r="AK43" s="2323"/>
      <c r="AL43" s="2343"/>
      <c r="AM43" s="2344"/>
      <c r="AN43" s="2344"/>
      <c r="AO43" s="2345"/>
      <c r="AP43" s="2343"/>
      <c r="AQ43" s="2344"/>
      <c r="AR43" s="2345"/>
      <c r="AS43" s="2346">
        <f t="shared" si="2"/>
        <v>0</v>
      </c>
      <c r="AT43" s="2347"/>
      <c r="AU43" s="2347"/>
      <c r="AV43" s="2347"/>
      <c r="AW43" s="2347"/>
      <c r="AX43" s="2348"/>
      <c r="AY43" s="2349">
        <f t="shared" si="3"/>
        <v>0</v>
      </c>
      <c r="AZ43" s="2350"/>
      <c r="BA43" s="2350"/>
      <c r="BB43" s="2350"/>
      <c r="BC43" s="2350"/>
      <c r="BD43" s="2351"/>
      <c r="BE43" s="1202"/>
    </row>
    <row r="44" spans="1:58" ht="15.75" customHeight="1">
      <c r="A44" s="1206"/>
      <c r="B44" s="2352" t="s">
        <v>1813</v>
      </c>
      <c r="C44" s="2353"/>
      <c r="D44" s="2353"/>
      <c r="E44" s="2353"/>
      <c r="F44" s="2353"/>
      <c r="G44" s="2353"/>
      <c r="H44" s="2353"/>
      <c r="I44" s="2353"/>
      <c r="J44" s="2322"/>
      <c r="K44" s="2322"/>
      <c r="L44" s="2322"/>
      <c r="M44" s="2322"/>
      <c r="N44" s="2322"/>
      <c r="O44" s="2322"/>
      <c r="P44" s="2322"/>
      <c r="Q44" s="2322"/>
      <c r="R44" s="2323"/>
      <c r="S44" s="2323"/>
      <c r="T44" s="2323"/>
      <c r="U44" s="2323"/>
      <c r="V44" s="2323"/>
      <c r="W44" s="2323"/>
      <c r="X44" s="2323"/>
      <c r="Y44" s="2323"/>
      <c r="Z44" s="2323"/>
      <c r="AA44" s="2323"/>
      <c r="AB44" s="2323"/>
      <c r="AC44" s="2323"/>
      <c r="AD44" s="2323"/>
      <c r="AE44" s="2323"/>
      <c r="AF44" s="2323"/>
      <c r="AG44" s="2323"/>
      <c r="AH44" s="2323"/>
      <c r="AI44" s="2323"/>
      <c r="AJ44" s="2323"/>
      <c r="AK44" s="2323"/>
      <c r="AL44" s="2343"/>
      <c r="AM44" s="2344"/>
      <c r="AN44" s="2344"/>
      <c r="AO44" s="2345"/>
      <c r="AP44" s="2343"/>
      <c r="AQ44" s="2344"/>
      <c r="AR44" s="2345"/>
      <c r="AS44" s="2346">
        <f t="shared" si="2"/>
        <v>0</v>
      </c>
      <c r="AT44" s="2347"/>
      <c r="AU44" s="2347"/>
      <c r="AV44" s="2347"/>
      <c r="AW44" s="2347"/>
      <c r="AX44" s="2348"/>
      <c r="AY44" s="2349">
        <f t="shared" si="3"/>
        <v>0</v>
      </c>
      <c r="AZ44" s="2350"/>
      <c r="BA44" s="2350"/>
      <c r="BB44" s="2350"/>
      <c r="BC44" s="2350"/>
      <c r="BD44" s="2351"/>
      <c r="BE44" s="1202"/>
    </row>
    <row r="45" spans="1:58" ht="15.75" customHeight="1">
      <c r="A45" s="1206"/>
      <c r="B45" s="2352" t="s">
        <v>1814</v>
      </c>
      <c r="C45" s="2353"/>
      <c r="D45" s="2353"/>
      <c r="E45" s="2353"/>
      <c r="F45" s="2353"/>
      <c r="G45" s="2353"/>
      <c r="H45" s="2353"/>
      <c r="I45" s="2353"/>
      <c r="J45" s="2322"/>
      <c r="K45" s="2322"/>
      <c r="L45" s="2322"/>
      <c r="M45" s="2322"/>
      <c r="N45" s="2322"/>
      <c r="O45" s="2322"/>
      <c r="P45" s="2322"/>
      <c r="Q45" s="2322"/>
      <c r="R45" s="2323"/>
      <c r="S45" s="2323"/>
      <c r="T45" s="2323"/>
      <c r="U45" s="2323"/>
      <c r="V45" s="2323"/>
      <c r="W45" s="2323"/>
      <c r="X45" s="2323"/>
      <c r="Y45" s="2323"/>
      <c r="Z45" s="2323"/>
      <c r="AA45" s="2323"/>
      <c r="AB45" s="2323"/>
      <c r="AC45" s="2323"/>
      <c r="AD45" s="2323"/>
      <c r="AE45" s="2323"/>
      <c r="AF45" s="2323"/>
      <c r="AG45" s="2323"/>
      <c r="AH45" s="2323"/>
      <c r="AI45" s="2323"/>
      <c r="AJ45" s="2323"/>
      <c r="AK45" s="2323"/>
      <c r="AL45" s="2343"/>
      <c r="AM45" s="2344"/>
      <c r="AN45" s="2344"/>
      <c r="AO45" s="2345"/>
      <c r="AP45" s="2343"/>
      <c r="AQ45" s="2344"/>
      <c r="AR45" s="2345"/>
      <c r="AS45" s="2346">
        <f t="shared" si="2"/>
        <v>0</v>
      </c>
      <c r="AT45" s="2347"/>
      <c r="AU45" s="2347"/>
      <c r="AV45" s="2347"/>
      <c r="AW45" s="2347"/>
      <c r="AX45" s="2348"/>
      <c r="AY45" s="2349">
        <f t="shared" si="3"/>
        <v>0</v>
      </c>
      <c r="AZ45" s="2350"/>
      <c r="BA45" s="2350"/>
      <c r="BB45" s="2350"/>
      <c r="BC45" s="2350"/>
      <c r="BD45" s="2351"/>
      <c r="BE45" s="1202"/>
    </row>
    <row r="46" spans="1:58" ht="15.75" customHeight="1">
      <c r="A46" s="1206"/>
      <c r="B46" s="2352" t="s">
        <v>1815</v>
      </c>
      <c r="C46" s="2353"/>
      <c r="D46" s="2353"/>
      <c r="E46" s="2353"/>
      <c r="F46" s="2353"/>
      <c r="G46" s="2353"/>
      <c r="H46" s="2353"/>
      <c r="I46" s="2353"/>
      <c r="J46" s="2322"/>
      <c r="K46" s="2322"/>
      <c r="L46" s="2322"/>
      <c r="M46" s="2322"/>
      <c r="N46" s="2322">
        <v>99</v>
      </c>
      <c r="O46" s="2322"/>
      <c r="P46" s="2322"/>
      <c r="Q46" s="2322"/>
      <c r="R46" s="2323"/>
      <c r="S46" s="2323"/>
      <c r="T46" s="2323"/>
      <c r="U46" s="2323"/>
      <c r="V46" s="2323"/>
      <c r="W46" s="2323"/>
      <c r="X46" s="2323"/>
      <c r="Y46" s="2323"/>
      <c r="Z46" s="2323"/>
      <c r="AA46" s="2323"/>
      <c r="AB46" s="2323"/>
      <c r="AC46" s="2323"/>
      <c r="AD46" s="2323"/>
      <c r="AE46" s="2323"/>
      <c r="AF46" s="2323"/>
      <c r="AG46" s="2323"/>
      <c r="AH46" s="2323"/>
      <c r="AI46" s="2323"/>
      <c r="AJ46" s="2323"/>
      <c r="AK46" s="2323"/>
      <c r="AL46" s="2343"/>
      <c r="AM46" s="2344"/>
      <c r="AN46" s="2344"/>
      <c r="AO46" s="2345"/>
      <c r="AP46" s="2343"/>
      <c r="AQ46" s="2344"/>
      <c r="AR46" s="2345"/>
      <c r="AS46" s="2346">
        <f t="shared" si="2"/>
        <v>0</v>
      </c>
      <c r="AT46" s="2347"/>
      <c r="AU46" s="2347"/>
      <c r="AV46" s="2347"/>
      <c r="AW46" s="2347"/>
      <c r="AX46" s="2348"/>
      <c r="AY46" s="2349">
        <f t="shared" si="3"/>
        <v>0</v>
      </c>
      <c r="AZ46" s="2350"/>
      <c r="BA46" s="2350"/>
      <c r="BB46" s="2350"/>
      <c r="BC46" s="2350"/>
      <c r="BD46" s="2351"/>
      <c r="BE46" s="1202"/>
    </row>
    <row r="47" spans="1:58" ht="15.75" customHeight="1" thickBot="1">
      <c r="A47" s="1206"/>
      <c r="B47" s="2366" t="s">
        <v>301</v>
      </c>
      <c r="C47" s="2367"/>
      <c r="D47" s="2367"/>
      <c r="E47" s="2367"/>
      <c r="F47" s="2367"/>
      <c r="G47" s="2367"/>
      <c r="H47" s="2367"/>
      <c r="I47" s="2367"/>
      <c r="J47" s="2368"/>
      <c r="K47" s="2368"/>
      <c r="L47" s="2368"/>
      <c r="M47" s="2368"/>
      <c r="N47" s="2368"/>
      <c r="O47" s="2368"/>
      <c r="P47" s="2368"/>
      <c r="Q47" s="2368"/>
      <c r="R47" s="2365"/>
      <c r="S47" s="2365"/>
      <c r="T47" s="2365"/>
      <c r="U47" s="2365"/>
      <c r="V47" s="2365"/>
      <c r="W47" s="2365"/>
      <c r="X47" s="2365"/>
      <c r="Y47" s="2365"/>
      <c r="Z47" s="2365"/>
      <c r="AA47" s="2365"/>
      <c r="AB47" s="2365"/>
      <c r="AC47" s="2365"/>
      <c r="AD47" s="2365"/>
      <c r="AE47" s="2365"/>
      <c r="AF47" s="2365"/>
      <c r="AG47" s="2365"/>
      <c r="AH47" s="2365"/>
      <c r="AI47" s="2365"/>
      <c r="AJ47" s="2365"/>
      <c r="AK47" s="2365"/>
      <c r="AL47" s="2354"/>
      <c r="AM47" s="2355"/>
      <c r="AN47" s="2355"/>
      <c r="AO47" s="2356"/>
      <c r="AP47" s="2354"/>
      <c r="AQ47" s="2355"/>
      <c r="AR47" s="2356"/>
      <c r="AS47" s="2346">
        <f t="shared" si="2"/>
        <v>0</v>
      </c>
      <c r="AT47" s="2347"/>
      <c r="AU47" s="2347"/>
      <c r="AV47" s="2347"/>
      <c r="AW47" s="2347"/>
      <c r="AX47" s="2348"/>
      <c r="AY47" s="2357">
        <f t="shared" si="3"/>
        <v>0</v>
      </c>
      <c r="AZ47" s="2358"/>
      <c r="BA47" s="2358"/>
      <c r="BB47" s="2358"/>
      <c r="BC47" s="2358"/>
      <c r="BD47" s="2359"/>
      <c r="BE47" s="1202"/>
    </row>
    <row r="48" spans="1:58" ht="15.75" customHeight="1">
      <c r="A48" s="1206"/>
      <c r="B48" s="1254" t="s">
        <v>2476</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2184</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0" t="s">
        <v>1816</v>
      </c>
      <c r="C50" s="2361"/>
      <c r="D50" s="2361"/>
      <c r="E50" s="2361"/>
      <c r="F50" s="2361"/>
      <c r="G50" s="2361"/>
      <c r="H50" s="2361"/>
      <c r="I50" s="2361"/>
      <c r="J50" s="2361"/>
      <c r="K50" s="2361"/>
      <c r="L50" s="2361"/>
      <c r="M50" s="2361"/>
      <c r="N50" s="2361"/>
      <c r="O50" s="2361"/>
      <c r="P50" s="2361"/>
      <c r="Q50" s="2361"/>
      <c r="R50" s="2361"/>
      <c r="S50" s="2361"/>
      <c r="T50" s="2361"/>
      <c r="U50" s="2361"/>
      <c r="V50" s="2361"/>
      <c r="W50" s="2361"/>
      <c r="X50" s="2361"/>
      <c r="Y50" s="2361"/>
      <c r="Z50" s="2361"/>
      <c r="AA50" s="2361"/>
      <c r="AB50" s="2361"/>
      <c r="AC50" s="2361"/>
      <c r="AD50" s="2361"/>
      <c r="AE50" s="2361"/>
      <c r="AF50" s="2361"/>
      <c r="AG50" s="2361"/>
      <c r="AH50" s="2361"/>
      <c r="AI50" s="2361"/>
      <c r="AJ50" s="2361"/>
      <c r="AK50" s="2361"/>
      <c r="AL50" s="2361"/>
      <c r="AM50" s="2361"/>
      <c r="AN50" s="2361"/>
      <c r="AO50" s="236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5" t="s">
        <v>1817</v>
      </c>
      <c r="C51" s="2206"/>
      <c r="D51" s="2206"/>
      <c r="E51" s="2206"/>
      <c r="F51" s="2206"/>
      <c r="G51" s="2206"/>
      <c r="H51" s="2206"/>
      <c r="I51" s="2206"/>
      <c r="J51" s="2206" t="s">
        <v>2477</v>
      </c>
      <c r="K51" s="2206"/>
      <c r="L51" s="2206"/>
      <c r="M51" s="2206"/>
      <c r="N51" s="2206"/>
      <c r="O51" s="2206"/>
      <c r="P51" s="2206"/>
      <c r="Q51" s="2206"/>
      <c r="R51" s="2363" t="s">
        <v>2478</v>
      </c>
      <c r="S51" s="2363"/>
      <c r="T51" s="2363"/>
      <c r="U51" s="2363"/>
      <c r="V51" s="2363"/>
      <c r="W51" s="2363"/>
      <c r="X51" s="2363"/>
      <c r="Y51" s="2363"/>
      <c r="Z51" s="2363" t="s">
        <v>1818</v>
      </c>
      <c r="AA51" s="2363"/>
      <c r="AB51" s="2363"/>
      <c r="AC51" s="2363"/>
      <c r="AD51" s="2363"/>
      <c r="AE51" s="2363"/>
      <c r="AF51" s="2363"/>
      <c r="AG51" s="2363"/>
      <c r="AH51" s="2363" t="s">
        <v>1819</v>
      </c>
      <c r="AI51" s="2363"/>
      <c r="AJ51" s="2363"/>
      <c r="AK51" s="2363"/>
      <c r="AL51" s="2363"/>
      <c r="AM51" s="2363"/>
      <c r="AN51" s="2363"/>
      <c r="AO51" s="23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2" t="s">
        <v>2185</v>
      </c>
      <c r="C52" s="2353"/>
      <c r="D52" s="2353"/>
      <c r="E52" s="2353"/>
      <c r="F52" s="2353"/>
      <c r="G52" s="2353"/>
      <c r="H52" s="2353"/>
      <c r="I52" s="2353"/>
      <c r="J52" s="2369">
        <v>0</v>
      </c>
      <c r="K52" s="2369"/>
      <c r="L52" s="2369"/>
      <c r="M52" s="2369"/>
      <c r="N52" s="2369"/>
      <c r="O52" s="2369"/>
      <c r="P52" s="2369"/>
      <c r="Q52" s="2369"/>
      <c r="R52" s="2370">
        <v>0</v>
      </c>
      <c r="S52" s="2370"/>
      <c r="T52" s="2370"/>
      <c r="U52" s="2370"/>
      <c r="V52" s="2370"/>
      <c r="W52" s="2370"/>
      <c r="X52" s="2370"/>
      <c r="Y52" s="2370"/>
      <c r="Z52" s="2371">
        <v>0</v>
      </c>
      <c r="AA52" s="2371"/>
      <c r="AB52" s="2371"/>
      <c r="AC52" s="2371"/>
      <c r="AD52" s="2371"/>
      <c r="AE52" s="2371"/>
      <c r="AF52" s="2371"/>
      <c r="AG52" s="2371"/>
      <c r="AH52" s="2372"/>
      <c r="AI52" s="2372"/>
      <c r="AJ52" s="2372"/>
      <c r="AK52" s="2372"/>
      <c r="AL52" s="2372"/>
      <c r="AM52" s="2372"/>
      <c r="AN52" s="2372"/>
      <c r="AO52" s="237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2" t="s">
        <v>2186</v>
      </c>
      <c r="C53" s="2353"/>
      <c r="D53" s="2353"/>
      <c r="E53" s="2353"/>
      <c r="F53" s="2353"/>
      <c r="G53" s="2353"/>
      <c r="H53" s="2353"/>
      <c r="I53" s="2353"/>
      <c r="J53" s="2369">
        <v>0</v>
      </c>
      <c r="K53" s="2369"/>
      <c r="L53" s="2369"/>
      <c r="M53" s="2369"/>
      <c r="N53" s="2369"/>
      <c r="O53" s="2369"/>
      <c r="P53" s="2369"/>
      <c r="Q53" s="2369"/>
      <c r="R53" s="2370">
        <v>0</v>
      </c>
      <c r="S53" s="2370"/>
      <c r="T53" s="2370"/>
      <c r="U53" s="2370"/>
      <c r="V53" s="2370"/>
      <c r="W53" s="2370"/>
      <c r="X53" s="2370"/>
      <c r="Y53" s="2370"/>
      <c r="Z53" s="2371">
        <v>0</v>
      </c>
      <c r="AA53" s="2371"/>
      <c r="AB53" s="2371"/>
      <c r="AC53" s="2371"/>
      <c r="AD53" s="2371"/>
      <c r="AE53" s="2371"/>
      <c r="AF53" s="2371"/>
      <c r="AG53" s="2371"/>
      <c r="AH53" s="2372"/>
      <c r="AI53" s="2372"/>
      <c r="AJ53" s="2372"/>
      <c r="AK53" s="2372"/>
      <c r="AL53" s="2372"/>
      <c r="AM53" s="2372"/>
      <c r="AN53" s="2372"/>
      <c r="AO53" s="237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2"/>
      <c r="C54" s="2353"/>
      <c r="D54" s="2353"/>
      <c r="E54" s="2353"/>
      <c r="F54" s="2353"/>
      <c r="G54" s="2353"/>
      <c r="H54" s="2353"/>
      <c r="I54" s="2353"/>
      <c r="J54" s="2369"/>
      <c r="K54" s="2369"/>
      <c r="L54" s="2369"/>
      <c r="M54" s="2369"/>
      <c r="N54" s="2369"/>
      <c r="O54" s="2369"/>
      <c r="P54" s="2369"/>
      <c r="Q54" s="2369"/>
      <c r="R54" s="2370"/>
      <c r="S54" s="2370"/>
      <c r="T54" s="2370"/>
      <c r="U54" s="2370"/>
      <c r="V54" s="2370"/>
      <c r="W54" s="2370"/>
      <c r="X54" s="2370"/>
      <c r="Y54" s="2370"/>
      <c r="Z54" s="2371"/>
      <c r="AA54" s="2371"/>
      <c r="AB54" s="2371"/>
      <c r="AC54" s="2371"/>
      <c r="AD54" s="2371"/>
      <c r="AE54" s="2371"/>
      <c r="AF54" s="2371"/>
      <c r="AG54" s="2371"/>
      <c r="AH54" s="2372"/>
      <c r="AI54" s="2372"/>
      <c r="AJ54" s="2372"/>
      <c r="AK54" s="2372"/>
      <c r="AL54" s="2372"/>
      <c r="AM54" s="2372"/>
      <c r="AN54" s="2372"/>
      <c r="AO54" s="237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2"/>
      <c r="C55" s="2353"/>
      <c r="D55" s="2353"/>
      <c r="E55" s="2353"/>
      <c r="F55" s="2353"/>
      <c r="G55" s="2353"/>
      <c r="H55" s="2353"/>
      <c r="I55" s="2353"/>
      <c r="J55" s="2369"/>
      <c r="K55" s="2369"/>
      <c r="L55" s="2369"/>
      <c r="M55" s="2369"/>
      <c r="N55" s="2369"/>
      <c r="O55" s="2369"/>
      <c r="P55" s="2369"/>
      <c r="Q55" s="2369"/>
      <c r="R55" s="2370"/>
      <c r="S55" s="2370"/>
      <c r="T55" s="2370"/>
      <c r="U55" s="2370"/>
      <c r="V55" s="2370"/>
      <c r="W55" s="2370"/>
      <c r="X55" s="2370"/>
      <c r="Y55" s="2370"/>
      <c r="Z55" s="2371"/>
      <c r="AA55" s="2371"/>
      <c r="AB55" s="2371"/>
      <c r="AC55" s="2371"/>
      <c r="AD55" s="2371"/>
      <c r="AE55" s="2371"/>
      <c r="AF55" s="2371"/>
      <c r="AG55" s="2371"/>
      <c r="AH55" s="2372"/>
      <c r="AI55" s="2372"/>
      <c r="AJ55" s="2372"/>
      <c r="AK55" s="2372"/>
      <c r="AL55" s="2372"/>
      <c r="AM55" s="2372"/>
      <c r="AN55" s="2372"/>
      <c r="AO55" s="2373"/>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2"/>
      <c r="C56" s="2353"/>
      <c r="D56" s="2353"/>
      <c r="E56" s="2353"/>
      <c r="F56" s="2353"/>
      <c r="G56" s="2353"/>
      <c r="H56" s="2353"/>
      <c r="I56" s="2353"/>
      <c r="J56" s="2369"/>
      <c r="K56" s="2369"/>
      <c r="L56" s="2369"/>
      <c r="M56" s="2369"/>
      <c r="N56" s="2369"/>
      <c r="O56" s="2369"/>
      <c r="P56" s="2369"/>
      <c r="Q56" s="2369"/>
      <c r="R56" s="2370"/>
      <c r="S56" s="2370"/>
      <c r="T56" s="2370"/>
      <c r="U56" s="2370"/>
      <c r="V56" s="2370"/>
      <c r="W56" s="2370"/>
      <c r="X56" s="2370"/>
      <c r="Y56" s="2370"/>
      <c r="Z56" s="2371"/>
      <c r="AA56" s="2371"/>
      <c r="AB56" s="2371"/>
      <c r="AC56" s="2371"/>
      <c r="AD56" s="2371"/>
      <c r="AE56" s="2371"/>
      <c r="AF56" s="2371"/>
      <c r="AG56" s="2371"/>
      <c r="AH56" s="2372"/>
      <c r="AI56" s="2372"/>
      <c r="AJ56" s="2372"/>
      <c r="AK56" s="2372"/>
      <c r="AL56" s="2372"/>
      <c r="AM56" s="2372"/>
      <c r="AN56" s="2372"/>
      <c r="AO56" s="237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5" t="s">
        <v>1698</v>
      </c>
      <c r="C57" s="2226"/>
      <c r="D57" s="2226"/>
      <c r="E57" s="2226"/>
      <c r="F57" s="2226"/>
      <c r="G57" s="2226"/>
      <c r="H57" s="2226"/>
      <c r="I57" s="2226"/>
      <c r="J57" s="2226"/>
      <c r="K57" s="2226"/>
      <c r="L57" s="2226"/>
      <c r="M57" s="2226"/>
      <c r="N57" s="2226"/>
      <c r="O57" s="2226"/>
      <c r="P57" s="2226"/>
      <c r="Q57" s="2226"/>
      <c r="R57" s="2383">
        <f>SUM(R52:Y56)</f>
        <v>0</v>
      </c>
      <c r="S57" s="2383"/>
      <c r="T57" s="2383"/>
      <c r="U57" s="2383"/>
      <c r="V57" s="2383"/>
      <c r="W57" s="2383"/>
      <c r="X57" s="2383"/>
      <c r="Y57" s="2383"/>
      <c r="Z57" s="2384">
        <f>SUM(Z52:AG56)</f>
        <v>0</v>
      </c>
      <c r="AA57" s="2384"/>
      <c r="AB57" s="2384"/>
      <c r="AC57" s="2384"/>
      <c r="AD57" s="2384"/>
      <c r="AE57" s="2384"/>
      <c r="AF57" s="2384"/>
      <c r="AG57" s="2384"/>
      <c r="AH57" s="2385"/>
      <c r="AI57" s="2385"/>
      <c r="AJ57" s="2385"/>
      <c r="AK57" s="2385"/>
      <c r="AL57" s="2385"/>
      <c r="AM57" s="2385"/>
      <c r="AN57" s="2385"/>
      <c r="AO57" s="238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7" t="s">
        <v>1817</v>
      </c>
      <c r="C59" s="2388"/>
      <c r="D59" s="2388"/>
      <c r="E59" s="2388"/>
      <c r="F59" s="2388"/>
      <c r="G59" s="2388"/>
      <c r="H59" s="2388"/>
      <c r="I59" s="2389"/>
      <c r="J59" s="2273" t="s">
        <v>2479</v>
      </c>
      <c r="K59" s="2273"/>
      <c r="L59" s="2273"/>
      <c r="M59" s="2273"/>
      <c r="N59" s="2273"/>
      <c r="O59" s="2273"/>
      <c r="P59" s="2273"/>
      <c r="Q59" s="2273"/>
      <c r="R59" s="2273"/>
      <c r="S59" s="2273"/>
      <c r="T59" s="2273"/>
      <c r="U59" s="2273"/>
      <c r="V59" s="2273"/>
      <c r="W59" s="2273"/>
      <c r="X59" s="2273"/>
      <c r="Y59" s="2273"/>
      <c r="Z59" s="2273"/>
      <c r="AA59" s="2273"/>
      <c r="AB59" s="2273"/>
      <c r="AC59" s="2273"/>
      <c r="AD59" s="2273"/>
      <c r="AE59" s="2273"/>
      <c r="AF59" s="2273"/>
      <c r="AG59" s="2273"/>
      <c r="AH59" s="2273"/>
      <c r="AI59" s="2273"/>
      <c r="AJ59" s="2273"/>
      <c r="AK59" s="2273"/>
      <c r="AL59" s="2273"/>
      <c r="AM59" s="2273"/>
      <c r="AN59" s="2273"/>
      <c r="AO59" s="2273"/>
      <c r="AP59" s="2273"/>
      <c r="AQ59" s="2273"/>
      <c r="AR59" s="2273"/>
      <c r="AS59" s="2273"/>
      <c r="AT59" s="2273"/>
      <c r="AU59" s="2273"/>
      <c r="AV59" s="2273"/>
      <c r="AW59" s="2274"/>
      <c r="AX59" s="1206"/>
      <c r="AY59" s="1206"/>
      <c r="AZ59" s="1206"/>
      <c r="BA59" s="1206"/>
      <c r="BB59" s="1206"/>
      <c r="BC59" s="1206"/>
      <c r="BD59" s="1206"/>
      <c r="BE59" s="1202"/>
    </row>
    <row r="60" spans="1:58" ht="15.75" customHeight="1">
      <c r="A60" s="1206"/>
      <c r="B60" s="2374" t="str">
        <f>IF(B52="", "", B52)</f>
        <v>Services Company 1</v>
      </c>
      <c r="C60" s="2375"/>
      <c r="D60" s="2375"/>
      <c r="E60" s="2375"/>
      <c r="F60" s="2375"/>
      <c r="G60" s="2375"/>
      <c r="H60" s="2375"/>
      <c r="I60" s="2376"/>
      <c r="J60" s="2377"/>
      <c r="K60" s="2378"/>
      <c r="L60" s="2378"/>
      <c r="M60" s="2378"/>
      <c r="N60" s="2378"/>
      <c r="O60" s="2378"/>
      <c r="P60" s="2378"/>
      <c r="Q60" s="2378"/>
      <c r="R60" s="2378"/>
      <c r="S60" s="2378"/>
      <c r="T60" s="2378"/>
      <c r="U60" s="2378"/>
      <c r="V60" s="2378"/>
      <c r="W60" s="2378"/>
      <c r="X60" s="2378"/>
      <c r="Y60" s="2378"/>
      <c r="Z60" s="2378"/>
      <c r="AA60" s="2378"/>
      <c r="AB60" s="2378"/>
      <c r="AC60" s="2378"/>
      <c r="AD60" s="2378"/>
      <c r="AE60" s="2378"/>
      <c r="AF60" s="2378"/>
      <c r="AG60" s="2378"/>
      <c r="AH60" s="2378"/>
      <c r="AI60" s="2378"/>
      <c r="AJ60" s="2378"/>
      <c r="AK60" s="2378"/>
      <c r="AL60" s="2378"/>
      <c r="AM60" s="2378"/>
      <c r="AN60" s="2378"/>
      <c r="AO60" s="2378"/>
      <c r="AP60" s="2378"/>
      <c r="AQ60" s="2378"/>
      <c r="AR60" s="2378"/>
      <c r="AS60" s="2378"/>
      <c r="AT60" s="2378"/>
      <c r="AU60" s="2378"/>
      <c r="AV60" s="2378"/>
      <c r="AW60" s="2379"/>
      <c r="AX60" s="1206"/>
      <c r="AY60" s="1206"/>
      <c r="AZ60" s="1206"/>
      <c r="BA60" s="1206"/>
      <c r="BB60" s="1206"/>
      <c r="BC60" s="1206"/>
      <c r="BD60" s="1206"/>
      <c r="BE60" s="1202"/>
    </row>
    <row r="61" spans="1:58" ht="15.75" customHeight="1">
      <c r="A61" s="1206"/>
      <c r="B61" s="2374" t="str">
        <f>IF(B53="", "", B53)</f>
        <v>Services Company 2</v>
      </c>
      <c r="C61" s="2375"/>
      <c r="D61" s="2375"/>
      <c r="E61" s="2375"/>
      <c r="F61" s="2375"/>
      <c r="G61" s="2375"/>
      <c r="H61" s="2375"/>
      <c r="I61" s="2376"/>
      <c r="J61" s="2377"/>
      <c r="K61" s="2378"/>
      <c r="L61" s="2378"/>
      <c r="M61" s="2378"/>
      <c r="N61" s="2378"/>
      <c r="O61" s="2378"/>
      <c r="P61" s="2378"/>
      <c r="Q61" s="2378"/>
      <c r="R61" s="2378"/>
      <c r="S61" s="2378"/>
      <c r="T61" s="2378"/>
      <c r="U61" s="2378"/>
      <c r="V61" s="2378"/>
      <c r="W61" s="2378"/>
      <c r="X61" s="2378"/>
      <c r="Y61" s="2378"/>
      <c r="Z61" s="2378"/>
      <c r="AA61" s="2378"/>
      <c r="AB61" s="2378"/>
      <c r="AC61" s="2378"/>
      <c r="AD61" s="2378"/>
      <c r="AE61" s="2378"/>
      <c r="AF61" s="2378"/>
      <c r="AG61" s="2378"/>
      <c r="AH61" s="2378"/>
      <c r="AI61" s="2378"/>
      <c r="AJ61" s="2378"/>
      <c r="AK61" s="2378"/>
      <c r="AL61" s="2378"/>
      <c r="AM61" s="2378"/>
      <c r="AN61" s="2378"/>
      <c r="AO61" s="2378"/>
      <c r="AP61" s="2378"/>
      <c r="AQ61" s="2378"/>
      <c r="AR61" s="2378"/>
      <c r="AS61" s="2378"/>
      <c r="AT61" s="2378"/>
      <c r="AU61" s="2378"/>
      <c r="AV61" s="2378"/>
      <c r="AW61" s="2379"/>
      <c r="AX61" s="1206"/>
      <c r="AY61" s="1206"/>
      <c r="AZ61" s="1206"/>
      <c r="BA61" s="1206"/>
      <c r="BB61" s="1206"/>
      <c r="BC61" s="1206"/>
      <c r="BD61" s="1206"/>
      <c r="BE61" s="1202"/>
    </row>
    <row r="62" spans="1:58" ht="15.75" customHeight="1">
      <c r="A62" s="1206"/>
      <c r="B62" s="2374" t="str">
        <f>IF(B54="", "", B54)</f>
        <v/>
      </c>
      <c r="C62" s="2375"/>
      <c r="D62" s="2375"/>
      <c r="E62" s="2375"/>
      <c r="F62" s="2375"/>
      <c r="G62" s="2375"/>
      <c r="H62" s="2375"/>
      <c r="I62" s="2376"/>
      <c r="J62" s="2377"/>
      <c r="K62" s="2378"/>
      <c r="L62" s="2378"/>
      <c r="M62" s="2378"/>
      <c r="N62" s="2378"/>
      <c r="O62" s="2378"/>
      <c r="P62" s="2378"/>
      <c r="Q62" s="2378"/>
      <c r="R62" s="2378"/>
      <c r="S62" s="2378"/>
      <c r="T62" s="2378"/>
      <c r="U62" s="2378"/>
      <c r="V62" s="2378"/>
      <c r="W62" s="2378"/>
      <c r="X62" s="2378"/>
      <c r="Y62" s="2378"/>
      <c r="Z62" s="2378"/>
      <c r="AA62" s="2378"/>
      <c r="AB62" s="2378"/>
      <c r="AC62" s="2378"/>
      <c r="AD62" s="2378"/>
      <c r="AE62" s="2378"/>
      <c r="AF62" s="2378"/>
      <c r="AG62" s="2378"/>
      <c r="AH62" s="2378"/>
      <c r="AI62" s="2378"/>
      <c r="AJ62" s="2378"/>
      <c r="AK62" s="2378"/>
      <c r="AL62" s="2378"/>
      <c r="AM62" s="2378"/>
      <c r="AN62" s="2378"/>
      <c r="AO62" s="2378"/>
      <c r="AP62" s="2378"/>
      <c r="AQ62" s="2378"/>
      <c r="AR62" s="2378"/>
      <c r="AS62" s="2378"/>
      <c r="AT62" s="2378"/>
      <c r="AU62" s="2378"/>
      <c r="AV62" s="2378"/>
      <c r="AW62" s="2379"/>
      <c r="AX62" s="1206"/>
      <c r="AY62" s="1206"/>
      <c r="AZ62" s="1206"/>
      <c r="BA62" s="1206"/>
      <c r="BB62" s="1206"/>
      <c r="BC62" s="1206"/>
      <c r="BD62" s="1206"/>
      <c r="BE62" s="1202"/>
    </row>
    <row r="63" spans="1:58" ht="15.75" customHeight="1">
      <c r="A63" s="1206"/>
      <c r="B63" s="2374" t="str">
        <f>IF(B55="", "", B55)</f>
        <v/>
      </c>
      <c r="C63" s="2375"/>
      <c r="D63" s="2375"/>
      <c r="E63" s="2375"/>
      <c r="F63" s="2375"/>
      <c r="G63" s="2375"/>
      <c r="H63" s="2375"/>
      <c r="I63" s="2376"/>
      <c r="J63" s="2377"/>
      <c r="K63" s="2378"/>
      <c r="L63" s="2378"/>
      <c r="M63" s="2378"/>
      <c r="N63" s="2378"/>
      <c r="O63" s="2378"/>
      <c r="P63" s="2378"/>
      <c r="Q63" s="2378"/>
      <c r="R63" s="2378"/>
      <c r="S63" s="2378"/>
      <c r="T63" s="2378"/>
      <c r="U63" s="2378"/>
      <c r="V63" s="2378"/>
      <c r="W63" s="2378"/>
      <c r="X63" s="2378"/>
      <c r="Y63" s="2378"/>
      <c r="Z63" s="2378"/>
      <c r="AA63" s="2378"/>
      <c r="AB63" s="2378"/>
      <c r="AC63" s="2378"/>
      <c r="AD63" s="2378"/>
      <c r="AE63" s="2378"/>
      <c r="AF63" s="2378"/>
      <c r="AG63" s="2378"/>
      <c r="AH63" s="2378"/>
      <c r="AI63" s="2378"/>
      <c r="AJ63" s="2378"/>
      <c r="AK63" s="2378"/>
      <c r="AL63" s="2378"/>
      <c r="AM63" s="2378"/>
      <c r="AN63" s="2378"/>
      <c r="AO63" s="2378"/>
      <c r="AP63" s="2378"/>
      <c r="AQ63" s="2378"/>
      <c r="AR63" s="2378"/>
      <c r="AS63" s="2378"/>
      <c r="AT63" s="2378"/>
      <c r="AU63" s="2378"/>
      <c r="AV63" s="2378"/>
      <c r="AW63" s="2379"/>
      <c r="AX63" s="1206"/>
      <c r="AY63" s="1206"/>
      <c r="AZ63" s="1206"/>
      <c r="BA63" s="1206"/>
      <c r="BB63" s="1206"/>
      <c r="BC63" s="1206"/>
      <c r="BD63" s="1206"/>
      <c r="BE63" s="1202"/>
    </row>
    <row r="64" spans="1:58" ht="15.75" customHeight="1" thickBot="1">
      <c r="A64" s="1206"/>
      <c r="B64" s="2380" t="str">
        <f>IF(B56="", "", B56)</f>
        <v/>
      </c>
      <c r="C64" s="2381"/>
      <c r="D64" s="2381"/>
      <c r="E64" s="2381"/>
      <c r="F64" s="2381"/>
      <c r="G64" s="2381"/>
      <c r="H64" s="2381"/>
      <c r="I64" s="2382"/>
      <c r="J64" s="2390"/>
      <c r="K64" s="2391"/>
      <c r="L64" s="2391"/>
      <c r="M64" s="2391"/>
      <c r="N64" s="2391"/>
      <c r="O64" s="2391"/>
      <c r="P64" s="2391"/>
      <c r="Q64" s="2391"/>
      <c r="R64" s="2391"/>
      <c r="S64" s="2391"/>
      <c r="T64" s="2391"/>
      <c r="U64" s="2391"/>
      <c r="V64" s="2391"/>
      <c r="W64" s="2391"/>
      <c r="X64" s="2391"/>
      <c r="Y64" s="2391"/>
      <c r="Z64" s="2391"/>
      <c r="AA64" s="2391"/>
      <c r="AB64" s="2391"/>
      <c r="AC64" s="2391"/>
      <c r="AD64" s="2391"/>
      <c r="AE64" s="2391"/>
      <c r="AF64" s="2391"/>
      <c r="AG64" s="2391"/>
      <c r="AH64" s="2391"/>
      <c r="AI64" s="2391"/>
      <c r="AJ64" s="2391"/>
      <c r="AK64" s="2391"/>
      <c r="AL64" s="2391"/>
      <c r="AM64" s="2391"/>
      <c r="AN64" s="2391"/>
      <c r="AO64" s="2391"/>
      <c r="AP64" s="2391"/>
      <c r="AQ64" s="2391"/>
      <c r="AR64" s="2391"/>
      <c r="AS64" s="2391"/>
      <c r="AT64" s="2391"/>
      <c r="AU64" s="2391"/>
      <c r="AV64" s="2391"/>
      <c r="AW64" s="239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1820</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2" t="s">
        <v>1821</v>
      </c>
      <c r="C68" s="2273"/>
      <c r="D68" s="2273"/>
      <c r="E68" s="2273"/>
      <c r="F68" s="2273"/>
      <c r="G68" s="2273"/>
      <c r="H68" s="2273"/>
      <c r="I68" s="2273"/>
      <c r="J68" s="2273"/>
      <c r="K68" s="2273"/>
      <c r="L68" s="2273"/>
      <c r="M68" s="2273"/>
      <c r="N68" s="2273"/>
      <c r="O68" s="2273"/>
      <c r="P68" s="2273"/>
      <c r="Q68" s="2273"/>
      <c r="R68" s="2273"/>
      <c r="S68" s="2273"/>
      <c r="T68" s="2273"/>
      <c r="U68" s="2273"/>
      <c r="V68" s="2273"/>
      <c r="W68" s="2273"/>
      <c r="X68" s="2273"/>
      <c r="Y68" s="2273"/>
      <c r="Z68" s="2273"/>
      <c r="AA68" s="2274"/>
      <c r="AB68" s="1206"/>
      <c r="AC68" s="2465" t="s">
        <v>1822</v>
      </c>
      <c r="AD68" s="2466"/>
      <c r="AE68" s="2466"/>
      <c r="AF68" s="2466"/>
      <c r="AG68" s="2466"/>
      <c r="AH68" s="2466"/>
      <c r="AI68" s="2466"/>
      <c r="AJ68" s="2466"/>
      <c r="AK68" s="2466"/>
      <c r="AL68" s="2466"/>
      <c r="AM68" s="2466"/>
      <c r="AN68" s="2466"/>
      <c r="AO68" s="2466"/>
      <c r="AP68" s="2466"/>
      <c r="AQ68" s="2466"/>
      <c r="AR68" s="2466"/>
      <c r="AS68" s="2466"/>
      <c r="AT68" s="2466"/>
      <c r="AU68" s="2466"/>
      <c r="AV68" s="2592" t="s">
        <v>678</v>
      </c>
      <c r="AW68" s="2425"/>
      <c r="AX68" s="2425"/>
      <c r="AY68" s="2425"/>
      <c r="AZ68" s="2425"/>
      <c r="BA68" s="2425"/>
      <c r="BB68" s="2425"/>
      <c r="BC68" s="2426"/>
      <c r="BD68" s="1206"/>
      <c r="BE68" s="1202"/>
      <c r="BM68" s="1251" t="s">
        <v>2480</v>
      </c>
    </row>
    <row r="69" spans="1:65" ht="15.75" customHeight="1" thickTop="1" thickBot="1">
      <c r="A69" s="1206"/>
      <c r="B69" s="2593" t="s">
        <v>1823</v>
      </c>
      <c r="C69" s="2594"/>
      <c r="D69" s="2594"/>
      <c r="E69" s="2594"/>
      <c r="F69" s="2594"/>
      <c r="G69" s="2594"/>
      <c r="H69" s="2594"/>
      <c r="I69" s="2594"/>
      <c r="J69" s="2594"/>
      <c r="K69" s="2594"/>
      <c r="L69" s="2594"/>
      <c r="M69" s="2594"/>
      <c r="N69" s="2594"/>
      <c r="O69" s="2595" t="s">
        <v>1824</v>
      </c>
      <c r="P69" s="2596"/>
      <c r="Q69" s="2596"/>
      <c r="R69" s="2596"/>
      <c r="S69" s="2596"/>
      <c r="T69" s="2596"/>
      <c r="U69" s="2596"/>
      <c r="V69" s="2596"/>
      <c r="W69" s="2596"/>
      <c r="X69" s="2596"/>
      <c r="Y69" s="2596"/>
      <c r="Z69" s="2596"/>
      <c r="AA69" s="2597"/>
      <c r="AB69" s="1206"/>
      <c r="AC69" s="2598" t="s">
        <v>1825</v>
      </c>
      <c r="AD69" s="2599"/>
      <c r="AE69" s="2599"/>
      <c r="AF69" s="2599"/>
      <c r="AG69" s="2599"/>
      <c r="AH69" s="2599"/>
      <c r="AI69" s="2599"/>
      <c r="AJ69" s="2599"/>
      <c r="AK69" s="2599"/>
      <c r="AL69" s="2599"/>
      <c r="AM69" s="2599"/>
      <c r="AN69" s="2599"/>
      <c r="AO69" s="2599"/>
      <c r="AP69" s="2599"/>
      <c r="AQ69" s="2599"/>
      <c r="AR69" s="2599"/>
      <c r="AS69" s="2599"/>
      <c r="AT69" s="2599"/>
      <c r="AU69" s="2599"/>
      <c r="AV69" s="2600"/>
      <c r="AW69" s="2601"/>
      <c r="AX69" s="2601"/>
      <c r="AY69" s="2601"/>
      <c r="AZ69" s="2601"/>
      <c r="BA69" s="2601"/>
      <c r="BB69" s="2601"/>
      <c r="BC69" s="2602"/>
      <c r="BD69" s="1206"/>
      <c r="BE69" s="1202"/>
      <c r="BM69" s="1250" t="s">
        <v>554</v>
      </c>
    </row>
    <row r="70" spans="1:65" ht="15.75" customHeight="1">
      <c r="A70" s="1206"/>
      <c r="B70" s="2320" t="s">
        <v>2481</v>
      </c>
      <c r="C70" s="2321"/>
      <c r="D70" s="2321"/>
      <c r="E70" s="2321"/>
      <c r="F70" s="2321"/>
      <c r="G70" s="2321"/>
      <c r="H70" s="2321"/>
      <c r="I70" s="2321"/>
      <c r="J70" s="2321"/>
      <c r="K70" s="2321"/>
      <c r="L70" s="2321"/>
      <c r="M70" s="2321"/>
      <c r="N70" s="2321"/>
      <c r="O70" s="2400">
        <v>0</v>
      </c>
      <c r="P70" s="2400"/>
      <c r="Q70" s="2400"/>
      <c r="R70" s="2400"/>
      <c r="S70" s="2400"/>
      <c r="T70" s="2400"/>
      <c r="U70" s="2400"/>
      <c r="V70" s="2400"/>
      <c r="W70" s="2400"/>
      <c r="X70" s="2400"/>
      <c r="Y70" s="2400"/>
      <c r="Z70" s="2400"/>
      <c r="AA70" s="2401"/>
      <c r="AB70" s="1206"/>
      <c r="AC70" s="2360" t="s">
        <v>1826</v>
      </c>
      <c r="AD70" s="2361"/>
      <c r="AE70" s="2361"/>
      <c r="AF70" s="2404"/>
      <c r="AG70" s="2404"/>
      <c r="AH70" s="2404"/>
      <c r="AI70" s="2404"/>
      <c r="AJ70" s="2404"/>
      <c r="AK70" s="2404"/>
      <c r="AL70" s="2404"/>
      <c r="AM70" s="2404"/>
      <c r="AN70" s="2404"/>
      <c r="AO70" s="2404"/>
      <c r="AP70" s="2404"/>
      <c r="AQ70" s="2404"/>
      <c r="AR70" s="2404"/>
      <c r="AS70" s="2404"/>
      <c r="AT70" s="2404"/>
      <c r="AU70" s="2405"/>
      <c r="AV70" s="1206"/>
      <c r="AW70" s="1206"/>
      <c r="AX70" s="1206"/>
      <c r="AY70" s="1206"/>
      <c r="AZ70" s="1206"/>
      <c r="BA70" s="1206"/>
      <c r="BB70" s="1206"/>
      <c r="BC70" s="1206"/>
      <c r="BD70" s="1206"/>
      <c r="BE70" s="1202"/>
      <c r="BM70" s="1249" t="s">
        <v>678</v>
      </c>
    </row>
    <row r="71" spans="1:65" ht="15.75" customHeight="1" thickBot="1">
      <c r="A71" s="1206"/>
      <c r="B71" s="2320" t="s">
        <v>2482</v>
      </c>
      <c r="C71" s="2321"/>
      <c r="D71" s="2321"/>
      <c r="E71" s="2321"/>
      <c r="F71" s="2321"/>
      <c r="G71" s="2321"/>
      <c r="H71" s="2321"/>
      <c r="I71" s="2321"/>
      <c r="J71" s="2321"/>
      <c r="K71" s="2321"/>
      <c r="L71" s="2321"/>
      <c r="M71" s="2321"/>
      <c r="N71" s="2321"/>
      <c r="O71" s="2400">
        <v>0</v>
      </c>
      <c r="P71" s="2400"/>
      <c r="Q71" s="2400"/>
      <c r="R71" s="2400"/>
      <c r="S71" s="2400"/>
      <c r="T71" s="2400"/>
      <c r="U71" s="2400"/>
      <c r="V71" s="2400"/>
      <c r="W71" s="2400"/>
      <c r="X71" s="2400"/>
      <c r="Y71" s="2400"/>
      <c r="Z71" s="2400"/>
      <c r="AA71" s="2401"/>
      <c r="AB71" s="1206"/>
      <c r="AC71" s="2406" t="s">
        <v>1827</v>
      </c>
      <c r="AD71" s="2407"/>
      <c r="AE71" s="2407"/>
      <c r="AF71" s="2391"/>
      <c r="AG71" s="2391"/>
      <c r="AH71" s="2391"/>
      <c r="AI71" s="2391"/>
      <c r="AJ71" s="2391"/>
      <c r="AK71" s="2391"/>
      <c r="AL71" s="2391"/>
      <c r="AM71" s="2391"/>
      <c r="AN71" s="2391"/>
      <c r="AO71" s="2391"/>
      <c r="AP71" s="2391"/>
      <c r="AQ71" s="2391"/>
      <c r="AR71" s="2391"/>
      <c r="AS71" s="2391"/>
      <c r="AT71" s="2391"/>
      <c r="AU71" s="2392"/>
      <c r="AV71" s="1206"/>
      <c r="AW71" s="1206"/>
      <c r="AX71" s="1206"/>
      <c r="AY71" s="1206"/>
      <c r="AZ71" s="1206"/>
      <c r="BA71" s="1206"/>
      <c r="BB71" s="1206"/>
      <c r="BC71" s="1206"/>
      <c r="BD71" s="1206"/>
      <c r="BE71" s="1202"/>
      <c r="BM71" s="1197" t="s">
        <v>2483</v>
      </c>
    </row>
    <row r="72" spans="1:65" ht="15.75" customHeight="1">
      <c r="A72" s="1206"/>
      <c r="B72" s="2320" t="s">
        <v>2484</v>
      </c>
      <c r="C72" s="2321"/>
      <c r="D72" s="2321"/>
      <c r="E72" s="2321"/>
      <c r="F72" s="2321"/>
      <c r="G72" s="2321"/>
      <c r="H72" s="2321"/>
      <c r="I72" s="2321"/>
      <c r="J72" s="2321"/>
      <c r="K72" s="2321"/>
      <c r="L72" s="2321"/>
      <c r="M72" s="2321"/>
      <c r="N72" s="2321"/>
      <c r="O72" s="2400">
        <v>0</v>
      </c>
      <c r="P72" s="2400"/>
      <c r="Q72" s="2400"/>
      <c r="R72" s="2400"/>
      <c r="S72" s="2400"/>
      <c r="T72" s="2400"/>
      <c r="U72" s="2400"/>
      <c r="V72" s="2400"/>
      <c r="W72" s="2400"/>
      <c r="X72" s="2400"/>
      <c r="Y72" s="2400"/>
      <c r="Z72" s="2400"/>
      <c r="AA72" s="2401"/>
      <c r="AB72" s="1206"/>
      <c r="AC72" s="2607" t="s">
        <v>2485</v>
      </c>
      <c r="AD72" s="2608"/>
      <c r="AE72" s="2608"/>
      <c r="AF72" s="2608"/>
      <c r="AG72" s="2608"/>
      <c r="AH72" s="2608"/>
      <c r="AI72" s="2608"/>
      <c r="AJ72" s="2608"/>
      <c r="AK72" s="2608"/>
      <c r="AL72" s="2608"/>
      <c r="AM72" s="2608"/>
      <c r="AN72" s="2608"/>
      <c r="AO72" s="2608"/>
      <c r="AP72" s="2608"/>
      <c r="AQ72" s="2608"/>
      <c r="AR72" s="2608"/>
      <c r="AS72" s="2608"/>
      <c r="AT72" s="2608"/>
      <c r="AU72" s="2608"/>
      <c r="AV72" s="2361"/>
      <c r="AW72" s="2361"/>
      <c r="AX72" s="2361"/>
      <c r="AY72" s="2361"/>
      <c r="AZ72" s="2361"/>
      <c r="BA72" s="2361"/>
      <c r="BB72" s="2361"/>
      <c r="BC72" s="2362"/>
      <c r="BD72" s="1206"/>
      <c r="BE72" s="1202"/>
    </row>
    <row r="73" spans="1:65" ht="15.75" customHeight="1">
      <c r="A73" s="1206"/>
      <c r="B73" s="2352" t="s">
        <v>2486</v>
      </c>
      <c r="C73" s="2353"/>
      <c r="D73" s="2353"/>
      <c r="E73" s="2353"/>
      <c r="F73" s="2353"/>
      <c r="G73" s="2353"/>
      <c r="H73" s="2353"/>
      <c r="I73" s="2353"/>
      <c r="J73" s="2353"/>
      <c r="K73" s="2353"/>
      <c r="L73" s="2353"/>
      <c r="M73" s="2353"/>
      <c r="N73" s="2353"/>
      <c r="O73" s="2400">
        <v>0</v>
      </c>
      <c r="P73" s="2400"/>
      <c r="Q73" s="2400"/>
      <c r="R73" s="2400"/>
      <c r="S73" s="2400"/>
      <c r="T73" s="2400"/>
      <c r="U73" s="2400"/>
      <c r="V73" s="2400"/>
      <c r="W73" s="2400"/>
      <c r="X73" s="2400"/>
      <c r="Y73" s="2400"/>
      <c r="Z73" s="2400"/>
      <c r="AA73" s="2401"/>
      <c r="AB73" s="1206"/>
      <c r="AC73" s="2393" t="s">
        <v>2187</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6"/>
      <c r="BE73" s="1202"/>
    </row>
    <row r="74" spans="1:65" ht="15.75" customHeight="1">
      <c r="A74" s="1206"/>
      <c r="B74" s="2399"/>
      <c r="C74" s="2369"/>
      <c r="D74" s="2369"/>
      <c r="E74" s="2369"/>
      <c r="F74" s="2369"/>
      <c r="G74" s="2369"/>
      <c r="H74" s="2369"/>
      <c r="I74" s="2369"/>
      <c r="J74" s="2369"/>
      <c r="K74" s="2369"/>
      <c r="L74" s="2369"/>
      <c r="M74" s="2369"/>
      <c r="N74" s="2369"/>
      <c r="O74" s="2400"/>
      <c r="P74" s="2400"/>
      <c r="Q74" s="2400"/>
      <c r="R74" s="2400"/>
      <c r="S74" s="2400"/>
      <c r="T74" s="2400"/>
      <c r="U74" s="2400"/>
      <c r="V74" s="2400"/>
      <c r="W74" s="2400"/>
      <c r="X74" s="2400"/>
      <c r="Y74" s="2400"/>
      <c r="Z74" s="2400"/>
      <c r="AA74" s="2401"/>
      <c r="AB74" s="1206"/>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6"/>
      <c r="BE74" s="1202"/>
    </row>
    <row r="75" spans="1:65" ht="15.75" customHeight="1" thickBot="1">
      <c r="A75" s="1206"/>
      <c r="B75" s="2402" t="s">
        <v>124</v>
      </c>
      <c r="C75" s="2403"/>
      <c r="D75" s="2403"/>
      <c r="E75" s="2403"/>
      <c r="F75" s="2403"/>
      <c r="G75" s="2403"/>
      <c r="H75" s="2403"/>
      <c r="I75" s="2403"/>
      <c r="J75" s="2403"/>
      <c r="K75" s="2403"/>
      <c r="L75" s="2403"/>
      <c r="M75" s="2403"/>
      <c r="N75" s="2403"/>
      <c r="O75" s="2583">
        <f>SUM(O70:AA74)</f>
        <v>0</v>
      </c>
      <c r="P75" s="2583"/>
      <c r="Q75" s="2583"/>
      <c r="R75" s="2583"/>
      <c r="S75" s="2583"/>
      <c r="T75" s="2583"/>
      <c r="U75" s="2583"/>
      <c r="V75" s="2583"/>
      <c r="W75" s="2583"/>
      <c r="X75" s="2583"/>
      <c r="Y75" s="2583"/>
      <c r="Z75" s="2583"/>
      <c r="AA75" s="2584"/>
      <c r="AB75" s="1206"/>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6"/>
      <c r="BE77" s="1202"/>
    </row>
    <row r="78" spans="1:65" ht="15.75" customHeight="1" thickBot="1">
      <c r="A78" s="1206"/>
      <c r="B78" s="1237" t="s">
        <v>2620</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1862</v>
      </c>
      <c r="C79" s="1236"/>
      <c r="D79" s="1236"/>
      <c r="E79" s="1248"/>
      <c r="F79" s="2585"/>
      <c r="G79" s="2586"/>
      <c r="H79" s="2586"/>
      <c r="I79" s="2586"/>
      <c r="J79" s="2586"/>
      <c r="K79" s="2586"/>
      <c r="L79" s="2586"/>
      <c r="M79" s="2587"/>
      <c r="N79" s="2587"/>
      <c r="O79" s="2587"/>
      <c r="P79" s="2587"/>
      <c r="Q79" s="258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2612</v>
      </c>
      <c r="C80" s="1240"/>
      <c r="D80" s="1239"/>
      <c r="E80" s="1239"/>
      <c r="F80" s="1239"/>
      <c r="G80" s="1239"/>
      <c r="H80" s="1239"/>
      <c r="I80" s="1239"/>
      <c r="J80" s="1239"/>
      <c r="K80" s="1239"/>
      <c r="L80" s="1238"/>
      <c r="M80" s="1239"/>
      <c r="N80" s="1238"/>
      <c r="O80" s="2589" t="e">
        <f>BR96/SUM($BR$96:$BR$98)</f>
        <v>#DIV/0!</v>
      </c>
      <c r="P80" s="2590"/>
      <c r="Q80" s="259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2619</v>
      </c>
      <c r="C81" s="1244"/>
      <c r="D81" s="1226"/>
      <c r="E81" s="1226"/>
      <c r="F81" s="1226"/>
      <c r="G81" s="1226"/>
      <c r="H81" s="1226"/>
      <c r="I81" s="1226"/>
      <c r="J81" s="1226"/>
      <c r="K81" s="1226"/>
      <c r="L81" s="1226"/>
      <c r="M81" s="1226"/>
      <c r="N81" s="1246"/>
      <c r="O81" s="2603" t="s">
        <v>2551</v>
      </c>
      <c r="P81" s="2604"/>
      <c r="Q81" s="260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0" t="s">
        <v>2170</v>
      </c>
      <c r="C83" s="2211"/>
      <c r="D83" s="2211"/>
      <c r="E83" s="2211"/>
      <c r="F83" s="2211"/>
      <c r="G83" s="2211"/>
      <c r="H83" s="2211"/>
      <c r="I83" s="2211"/>
      <c r="J83" s="2211"/>
      <c r="K83" s="2211"/>
      <c r="L83" s="2211"/>
      <c r="M83" s="2211"/>
      <c r="N83" s="2211"/>
      <c r="O83" s="2211"/>
      <c r="P83" s="2211"/>
      <c r="Q83" s="2211"/>
      <c r="R83" s="2211"/>
      <c r="S83" s="2211"/>
      <c r="T83" s="2211"/>
      <c r="U83" s="2211"/>
      <c r="V83" s="2211"/>
      <c r="W83" s="2211"/>
      <c r="X83" s="2211"/>
      <c r="Y83" s="2211"/>
      <c r="Z83" s="2211"/>
      <c r="AA83" s="2211"/>
      <c r="AB83" s="2211"/>
      <c r="AC83" s="2211"/>
      <c r="AD83" s="2211"/>
      <c r="AE83" s="2211"/>
      <c r="AF83" s="2211"/>
      <c r="AG83" s="2211"/>
      <c r="AH83" s="2212"/>
      <c r="AI83" s="1206"/>
      <c r="AJ83" s="2246" t="s">
        <v>2618</v>
      </c>
      <c r="AK83" s="2247"/>
      <c r="AL83" s="2247"/>
      <c r="AM83" s="2247"/>
      <c r="AN83" s="2247"/>
      <c r="AO83" s="2247"/>
      <c r="AP83" s="2247"/>
      <c r="AQ83" s="2247"/>
      <c r="AR83" s="2247"/>
      <c r="AS83" s="2247"/>
      <c r="AT83" s="2247"/>
      <c r="AU83" s="2247"/>
      <c r="AV83" s="2247"/>
      <c r="AW83" s="2247"/>
      <c r="AX83" s="2247"/>
      <c r="AY83" s="2250" t="s">
        <v>554</v>
      </c>
      <c r="AZ83" s="2250"/>
      <c r="BA83" s="2250"/>
      <c r="BB83" s="2251"/>
      <c r="BC83" s="1206"/>
      <c r="BD83" s="1206"/>
      <c r="BE83" s="1202"/>
    </row>
    <row r="84" spans="1:70" ht="15.75" customHeight="1">
      <c r="A84" s="1206"/>
      <c r="B84" s="2205"/>
      <c r="C84" s="2206"/>
      <c r="D84" s="2206"/>
      <c r="E84" s="2206"/>
      <c r="F84" s="2206"/>
      <c r="G84" s="2206"/>
      <c r="H84" s="2206"/>
      <c r="I84" s="2206" t="s">
        <v>1828</v>
      </c>
      <c r="J84" s="2206"/>
      <c r="K84" s="2206"/>
      <c r="L84" s="2206"/>
      <c r="M84" s="2206"/>
      <c r="N84" s="2206"/>
      <c r="O84" s="2206" t="s">
        <v>1829</v>
      </c>
      <c r="P84" s="2206"/>
      <c r="Q84" s="2206"/>
      <c r="R84" s="2206"/>
      <c r="S84" s="2206"/>
      <c r="T84" s="2206"/>
      <c r="U84" s="2206"/>
      <c r="V84" s="2202" t="s">
        <v>2188</v>
      </c>
      <c r="W84" s="2202"/>
      <c r="X84" s="2202"/>
      <c r="Y84" s="2202"/>
      <c r="Z84" s="2202"/>
      <c r="AA84" s="2202"/>
      <c r="AB84" s="2203" t="s">
        <v>1830</v>
      </c>
      <c r="AC84" s="2203"/>
      <c r="AD84" s="2203"/>
      <c r="AE84" s="2203"/>
      <c r="AF84" s="2203"/>
      <c r="AG84" s="2203"/>
      <c r="AH84" s="2204"/>
      <c r="AI84" s="1206"/>
      <c r="AJ84" s="2248"/>
      <c r="AK84" s="2249"/>
      <c r="AL84" s="2249"/>
      <c r="AM84" s="2249"/>
      <c r="AN84" s="2249"/>
      <c r="AO84" s="2249"/>
      <c r="AP84" s="2249"/>
      <c r="AQ84" s="2249"/>
      <c r="AR84" s="2249"/>
      <c r="AS84" s="2249"/>
      <c r="AT84" s="2249"/>
      <c r="AU84" s="2249"/>
      <c r="AV84" s="2249"/>
      <c r="AW84" s="2249"/>
      <c r="AX84" s="2249"/>
      <c r="AY84" s="2252"/>
      <c r="AZ84" s="2252"/>
      <c r="BA84" s="2252"/>
      <c r="BB84" s="2253"/>
      <c r="BC84" s="1206"/>
      <c r="BD84" s="1206"/>
      <c r="BE84" s="1202"/>
    </row>
    <row r="85" spans="1:70" ht="15.75" customHeight="1">
      <c r="A85" s="1206"/>
      <c r="B85" s="2205"/>
      <c r="C85" s="2206"/>
      <c r="D85" s="2206"/>
      <c r="E85" s="2206"/>
      <c r="F85" s="2206"/>
      <c r="G85" s="2206"/>
      <c r="H85" s="2206"/>
      <c r="I85" s="2206"/>
      <c r="J85" s="2206"/>
      <c r="K85" s="2206"/>
      <c r="L85" s="2206"/>
      <c r="M85" s="2206"/>
      <c r="N85" s="2206"/>
      <c r="O85" s="2206"/>
      <c r="P85" s="2206"/>
      <c r="Q85" s="2206"/>
      <c r="R85" s="2206"/>
      <c r="S85" s="2206"/>
      <c r="T85" s="2206"/>
      <c r="U85" s="2206"/>
      <c r="V85" s="2202"/>
      <c r="W85" s="2202"/>
      <c r="X85" s="2202"/>
      <c r="Y85" s="2202"/>
      <c r="Z85" s="2202"/>
      <c r="AA85" s="2202"/>
      <c r="AB85" s="2203"/>
      <c r="AC85" s="2203"/>
      <c r="AD85" s="2203"/>
      <c r="AE85" s="2203"/>
      <c r="AF85" s="2203"/>
      <c r="AG85" s="2203"/>
      <c r="AH85" s="2204"/>
      <c r="AI85" s="1206"/>
      <c r="AJ85" s="2248"/>
      <c r="AK85" s="2249"/>
      <c r="AL85" s="2249"/>
      <c r="AM85" s="2249"/>
      <c r="AN85" s="2249"/>
      <c r="AO85" s="2249"/>
      <c r="AP85" s="2249"/>
      <c r="AQ85" s="2249"/>
      <c r="AR85" s="2249"/>
      <c r="AS85" s="2249"/>
      <c r="AT85" s="2249"/>
      <c r="AU85" s="2249"/>
      <c r="AV85" s="2249"/>
      <c r="AW85" s="2249"/>
      <c r="AX85" s="2249"/>
      <c r="AY85" s="2252"/>
      <c r="AZ85" s="2252"/>
      <c r="BA85" s="2252"/>
      <c r="BB85" s="2253"/>
      <c r="BC85" s="1206"/>
      <c r="BD85" s="1206"/>
      <c r="BE85" s="1202"/>
    </row>
    <row r="86" spans="1:70" ht="15.75" customHeight="1">
      <c r="A86" s="1206"/>
      <c r="B86" s="2205" t="s">
        <v>2171</v>
      </c>
      <c r="C86" s="2206"/>
      <c r="D86" s="2206"/>
      <c r="E86" s="2206"/>
      <c r="F86" s="2206"/>
      <c r="G86" s="2206"/>
      <c r="H86" s="2206"/>
      <c r="I86" s="2207">
        <v>0</v>
      </c>
      <c r="J86" s="2207"/>
      <c r="K86" s="2207"/>
      <c r="L86" s="2207"/>
      <c r="M86" s="2207"/>
      <c r="N86" s="2207"/>
      <c r="O86" s="2207">
        <v>0</v>
      </c>
      <c r="P86" s="2207"/>
      <c r="Q86" s="2207"/>
      <c r="R86" s="2207"/>
      <c r="S86" s="2207"/>
      <c r="T86" s="2207"/>
      <c r="U86" s="2207"/>
      <c r="V86" s="2207">
        <v>0</v>
      </c>
      <c r="W86" s="2207"/>
      <c r="X86" s="2207"/>
      <c r="Y86" s="2207"/>
      <c r="Z86" s="2207"/>
      <c r="AA86" s="2207"/>
      <c r="AB86" s="2207">
        <v>0</v>
      </c>
      <c r="AC86" s="2207"/>
      <c r="AD86" s="2207"/>
      <c r="AE86" s="2207"/>
      <c r="AF86" s="2207"/>
      <c r="AG86" s="2207"/>
      <c r="AH86" s="2213"/>
      <c r="AI86" s="1206"/>
      <c r="AJ86" s="2248"/>
      <c r="AK86" s="2249"/>
      <c r="AL86" s="2249"/>
      <c r="AM86" s="2249"/>
      <c r="AN86" s="2249"/>
      <c r="AO86" s="2249"/>
      <c r="AP86" s="2249"/>
      <c r="AQ86" s="2249"/>
      <c r="AR86" s="2249"/>
      <c r="AS86" s="2249"/>
      <c r="AT86" s="2249"/>
      <c r="AU86" s="2249"/>
      <c r="AV86" s="2249"/>
      <c r="AW86" s="2249"/>
      <c r="AX86" s="2249"/>
      <c r="AY86" s="2252"/>
      <c r="AZ86" s="2252"/>
      <c r="BA86" s="2252"/>
      <c r="BB86" s="2253"/>
      <c r="BC86" s="1206"/>
      <c r="BD86" s="1206"/>
      <c r="BE86" s="1202"/>
    </row>
    <row r="87" spans="1:70" ht="15.75" customHeight="1">
      <c r="A87" s="1206"/>
      <c r="B87" s="2205" t="s">
        <v>2172</v>
      </c>
      <c r="C87" s="2206"/>
      <c r="D87" s="2206"/>
      <c r="E87" s="2206"/>
      <c r="F87" s="2206"/>
      <c r="G87" s="2206"/>
      <c r="H87" s="2206"/>
      <c r="I87" s="2207">
        <v>0</v>
      </c>
      <c r="J87" s="2207"/>
      <c r="K87" s="2207"/>
      <c r="L87" s="2207"/>
      <c r="M87" s="2207"/>
      <c r="N87" s="2207"/>
      <c r="O87" s="2207">
        <v>0</v>
      </c>
      <c r="P87" s="2207"/>
      <c r="Q87" s="2207"/>
      <c r="R87" s="2207"/>
      <c r="S87" s="2207"/>
      <c r="T87" s="2207"/>
      <c r="U87" s="2207"/>
      <c r="V87" s="2207">
        <v>0</v>
      </c>
      <c r="W87" s="2207"/>
      <c r="X87" s="2207"/>
      <c r="Y87" s="2207"/>
      <c r="Z87" s="2207"/>
      <c r="AA87" s="2207"/>
      <c r="AB87" s="2207">
        <v>0</v>
      </c>
      <c r="AC87" s="2207"/>
      <c r="AD87" s="2207"/>
      <c r="AE87" s="2207"/>
      <c r="AF87" s="2207"/>
      <c r="AG87" s="2207"/>
      <c r="AH87" s="2213"/>
      <c r="AI87" s="1206"/>
      <c r="AJ87" s="2219" t="s">
        <v>2487</v>
      </c>
      <c r="AK87" s="2220"/>
      <c r="AL87" s="2220"/>
      <c r="AM87" s="2220"/>
      <c r="AN87" s="2220"/>
      <c r="AO87" s="2220"/>
      <c r="AP87" s="2220"/>
      <c r="AQ87" s="2220"/>
      <c r="AR87" s="2220"/>
      <c r="AS87" s="2220"/>
      <c r="AT87" s="2220"/>
      <c r="AU87" s="2220"/>
      <c r="AV87" s="2220"/>
      <c r="AW87" s="2220"/>
      <c r="AX87" s="2220"/>
      <c r="AY87" s="2220"/>
      <c r="AZ87" s="2220"/>
      <c r="BA87" s="2220"/>
      <c r="BB87" s="2221"/>
      <c r="BC87" s="1206"/>
      <c r="BD87" s="1206"/>
      <c r="BE87" s="1202"/>
    </row>
    <row r="88" spans="1:70" ht="15.75" customHeight="1" thickBot="1">
      <c r="A88" s="1206"/>
      <c r="B88" s="2225" t="s">
        <v>1831</v>
      </c>
      <c r="C88" s="2226"/>
      <c r="D88" s="2226"/>
      <c r="E88" s="2226"/>
      <c r="F88" s="2226"/>
      <c r="G88" s="2226"/>
      <c r="H88" s="2226"/>
      <c r="I88" s="2227">
        <v>0</v>
      </c>
      <c r="J88" s="2227"/>
      <c r="K88" s="2227"/>
      <c r="L88" s="2227"/>
      <c r="M88" s="2227"/>
      <c r="N88" s="2227"/>
      <c r="O88" s="2227">
        <v>0</v>
      </c>
      <c r="P88" s="2227"/>
      <c r="Q88" s="2227"/>
      <c r="R88" s="2227"/>
      <c r="S88" s="2227"/>
      <c r="T88" s="2227"/>
      <c r="U88" s="2227"/>
      <c r="V88" s="2227">
        <v>0</v>
      </c>
      <c r="W88" s="2227"/>
      <c r="X88" s="2227"/>
      <c r="Y88" s="2227"/>
      <c r="Z88" s="2227"/>
      <c r="AA88" s="2227"/>
      <c r="AB88" s="2227">
        <v>0</v>
      </c>
      <c r="AC88" s="2227"/>
      <c r="AD88" s="2227"/>
      <c r="AE88" s="2227"/>
      <c r="AF88" s="2227"/>
      <c r="AG88" s="2227"/>
      <c r="AH88" s="2228"/>
      <c r="AI88" s="1206"/>
      <c r="AJ88" s="2222"/>
      <c r="AK88" s="2223"/>
      <c r="AL88" s="2223"/>
      <c r="AM88" s="2223"/>
      <c r="AN88" s="2223"/>
      <c r="AO88" s="2223"/>
      <c r="AP88" s="2223"/>
      <c r="AQ88" s="2223"/>
      <c r="AR88" s="2223"/>
      <c r="AS88" s="2223"/>
      <c r="AT88" s="2223"/>
      <c r="AU88" s="2223"/>
      <c r="AV88" s="2223"/>
      <c r="AW88" s="2223"/>
      <c r="AX88" s="2223"/>
      <c r="AY88" s="2223"/>
      <c r="AZ88" s="2223"/>
      <c r="BA88" s="2223"/>
      <c r="BB88" s="222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2617</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1862</v>
      </c>
      <c r="C92" s="1234"/>
      <c r="D92" s="1233"/>
      <c r="E92" s="1232"/>
      <c r="F92" s="2606"/>
      <c r="G92" s="2587"/>
      <c r="H92" s="2587"/>
      <c r="I92" s="2587"/>
      <c r="J92" s="2587"/>
      <c r="K92" s="2587"/>
      <c r="L92" s="2587"/>
      <c r="M92" s="2587"/>
      <c r="N92" s="2587"/>
      <c r="O92" s="2587"/>
      <c r="P92" s="2587"/>
      <c r="Q92" s="258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2612</v>
      </c>
      <c r="C93" s="1240"/>
      <c r="D93" s="1239"/>
      <c r="E93" s="1239"/>
      <c r="F93" s="1239"/>
      <c r="G93" s="1239"/>
      <c r="H93" s="1239"/>
      <c r="I93" s="1239"/>
      <c r="J93" s="1239"/>
      <c r="K93" s="1239"/>
      <c r="L93" s="1238"/>
      <c r="M93" s="1239"/>
      <c r="N93" s="1238"/>
      <c r="O93" s="2589" t="e">
        <f>BR97/SUM($BR$96:$BR$98)</f>
        <v>#DIV/0!</v>
      </c>
      <c r="P93" s="2590"/>
      <c r="Q93" s="259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2616</v>
      </c>
      <c r="C94" s="1244"/>
      <c r="D94" s="1226"/>
      <c r="E94" s="1226"/>
      <c r="F94" s="1226"/>
      <c r="G94" s="1226"/>
      <c r="H94" s="1226"/>
      <c r="I94" s="1226"/>
      <c r="J94" s="1226"/>
      <c r="K94" s="1226"/>
      <c r="L94" s="1226"/>
      <c r="M94" s="1226"/>
      <c r="N94" s="1246"/>
      <c r="O94" s="2603" t="s">
        <v>2551</v>
      </c>
      <c r="P94" s="2604"/>
      <c r="Q94" s="260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0" t="s">
        <v>2615</v>
      </c>
      <c r="C96" s="2211"/>
      <c r="D96" s="2211"/>
      <c r="E96" s="2211"/>
      <c r="F96" s="2211"/>
      <c r="G96" s="2211"/>
      <c r="H96" s="2211"/>
      <c r="I96" s="2211"/>
      <c r="J96" s="2211"/>
      <c r="K96" s="2211"/>
      <c r="L96" s="2211"/>
      <c r="M96" s="2211"/>
      <c r="N96" s="2211"/>
      <c r="O96" s="2211"/>
      <c r="P96" s="2211"/>
      <c r="Q96" s="2211"/>
      <c r="R96" s="2211"/>
      <c r="S96" s="2211"/>
      <c r="T96" s="2211"/>
      <c r="U96" s="2211"/>
      <c r="V96" s="2211"/>
      <c r="W96" s="2211"/>
      <c r="X96" s="2211"/>
      <c r="Y96" s="2211"/>
      <c r="Z96" s="2211"/>
      <c r="AA96" s="2211"/>
      <c r="AB96" s="2211"/>
      <c r="AC96" s="2211"/>
      <c r="AD96" s="2211"/>
      <c r="AE96" s="2211"/>
      <c r="AF96" s="2211"/>
      <c r="AG96" s="2211"/>
      <c r="AH96" s="2212"/>
      <c r="AI96" s="1206"/>
      <c r="AJ96" s="2246" t="s">
        <v>2614</v>
      </c>
      <c r="AK96" s="2247"/>
      <c r="AL96" s="2247"/>
      <c r="AM96" s="2247"/>
      <c r="AN96" s="2247"/>
      <c r="AO96" s="2247"/>
      <c r="AP96" s="2247"/>
      <c r="AQ96" s="2247"/>
      <c r="AR96" s="2247"/>
      <c r="AS96" s="2247"/>
      <c r="AT96" s="2247"/>
      <c r="AU96" s="2247"/>
      <c r="AV96" s="2247"/>
      <c r="AW96" s="2247"/>
      <c r="AX96" s="2247"/>
      <c r="AY96" s="2250" t="s">
        <v>554</v>
      </c>
      <c r="AZ96" s="2250"/>
      <c r="BA96" s="2250"/>
      <c r="BB96" s="2251"/>
      <c r="BC96" s="1206"/>
      <c r="BD96" s="1206"/>
      <c r="BE96" s="1202"/>
      <c r="BQ96" s="1245" t="str">
        <f>Application!M243</f>
        <v>PSCDC Prime SD LLC</v>
      </c>
      <c r="BR96" s="1245">
        <f>Application!AH245</f>
        <v>0</v>
      </c>
    </row>
    <row r="97" spans="1:70" ht="15.75" customHeight="1">
      <c r="A97" s="1206"/>
      <c r="B97" s="2205"/>
      <c r="C97" s="2206"/>
      <c r="D97" s="2206"/>
      <c r="E97" s="2206"/>
      <c r="F97" s="2206"/>
      <c r="G97" s="2206"/>
      <c r="H97" s="2206"/>
      <c r="I97" s="2206" t="s">
        <v>1828</v>
      </c>
      <c r="J97" s="2206"/>
      <c r="K97" s="2206"/>
      <c r="L97" s="2206"/>
      <c r="M97" s="2206"/>
      <c r="N97" s="2206"/>
      <c r="O97" s="2206" t="s">
        <v>1829</v>
      </c>
      <c r="P97" s="2206"/>
      <c r="Q97" s="2206"/>
      <c r="R97" s="2206"/>
      <c r="S97" s="2206"/>
      <c r="T97" s="2206"/>
      <c r="U97" s="2206"/>
      <c r="V97" s="2202" t="s">
        <v>2188</v>
      </c>
      <c r="W97" s="2202"/>
      <c r="X97" s="2202"/>
      <c r="Y97" s="2202"/>
      <c r="Z97" s="2202"/>
      <c r="AA97" s="2202"/>
      <c r="AB97" s="2203" t="s">
        <v>1830</v>
      </c>
      <c r="AC97" s="2203"/>
      <c r="AD97" s="2203"/>
      <c r="AE97" s="2203"/>
      <c r="AF97" s="2203"/>
      <c r="AG97" s="2203"/>
      <c r="AH97" s="2204"/>
      <c r="AI97" s="1206"/>
      <c r="AJ97" s="2248"/>
      <c r="AK97" s="2249"/>
      <c r="AL97" s="2249"/>
      <c r="AM97" s="2249"/>
      <c r="AN97" s="2249"/>
      <c r="AO97" s="2249"/>
      <c r="AP97" s="2249"/>
      <c r="AQ97" s="2249"/>
      <c r="AR97" s="2249"/>
      <c r="AS97" s="2249"/>
      <c r="AT97" s="2249"/>
      <c r="AU97" s="2249"/>
      <c r="AV97" s="2249"/>
      <c r="AW97" s="2249"/>
      <c r="AX97" s="2249"/>
      <c r="AY97" s="2252"/>
      <c r="AZ97" s="2252"/>
      <c r="BA97" s="2252"/>
      <c r="BB97" s="2253"/>
      <c r="BC97" s="1206"/>
      <c r="BD97" s="1206"/>
      <c r="BE97" s="1202"/>
      <c r="BQ97" s="1245" t="str">
        <f>Application!M251</f>
        <v>716 Seagaze LLC</v>
      </c>
      <c r="BR97" s="1245">
        <f>Application!AH253</f>
        <v>0</v>
      </c>
    </row>
    <row r="98" spans="1:70" ht="15.75" customHeight="1">
      <c r="A98" s="1206"/>
      <c r="B98" s="2205"/>
      <c r="C98" s="2206"/>
      <c r="D98" s="2206"/>
      <c r="E98" s="2206"/>
      <c r="F98" s="2206"/>
      <c r="G98" s="2206"/>
      <c r="H98" s="2206"/>
      <c r="I98" s="2206"/>
      <c r="J98" s="2206"/>
      <c r="K98" s="2206"/>
      <c r="L98" s="2206"/>
      <c r="M98" s="2206"/>
      <c r="N98" s="2206"/>
      <c r="O98" s="2206"/>
      <c r="P98" s="2206"/>
      <c r="Q98" s="2206"/>
      <c r="R98" s="2206"/>
      <c r="S98" s="2206"/>
      <c r="T98" s="2206"/>
      <c r="U98" s="2206"/>
      <c r="V98" s="2202"/>
      <c r="W98" s="2202"/>
      <c r="X98" s="2202"/>
      <c r="Y98" s="2202"/>
      <c r="Z98" s="2202"/>
      <c r="AA98" s="2202"/>
      <c r="AB98" s="2203"/>
      <c r="AC98" s="2203"/>
      <c r="AD98" s="2203"/>
      <c r="AE98" s="2203"/>
      <c r="AF98" s="2203"/>
      <c r="AG98" s="2203"/>
      <c r="AH98" s="2204"/>
      <c r="AI98" s="1206"/>
      <c r="AJ98" s="2248"/>
      <c r="AK98" s="2249"/>
      <c r="AL98" s="2249"/>
      <c r="AM98" s="2249"/>
      <c r="AN98" s="2249"/>
      <c r="AO98" s="2249"/>
      <c r="AP98" s="2249"/>
      <c r="AQ98" s="2249"/>
      <c r="AR98" s="2249"/>
      <c r="AS98" s="2249"/>
      <c r="AT98" s="2249"/>
      <c r="AU98" s="2249"/>
      <c r="AV98" s="2249"/>
      <c r="AW98" s="2249"/>
      <c r="AX98" s="2249"/>
      <c r="AY98" s="2252"/>
      <c r="AZ98" s="2252"/>
      <c r="BA98" s="2252"/>
      <c r="BB98" s="2253"/>
      <c r="BC98" s="1206"/>
      <c r="BD98" s="1206"/>
      <c r="BE98" s="1202"/>
      <c r="BQ98" s="1245">
        <f>Application!M259</f>
        <v>0</v>
      </c>
      <c r="BR98" s="1245">
        <f>Application!AH261</f>
        <v>0</v>
      </c>
    </row>
    <row r="99" spans="1:70" ht="15.75" customHeight="1">
      <c r="A99" s="1206"/>
      <c r="B99" s="2205" t="s">
        <v>2171</v>
      </c>
      <c r="C99" s="2206"/>
      <c r="D99" s="2206"/>
      <c r="E99" s="2206"/>
      <c r="F99" s="2206"/>
      <c r="G99" s="2206"/>
      <c r="H99" s="2206"/>
      <c r="I99" s="2207">
        <v>0</v>
      </c>
      <c r="J99" s="2207"/>
      <c r="K99" s="2207"/>
      <c r="L99" s="2207"/>
      <c r="M99" s="2207"/>
      <c r="N99" s="2207"/>
      <c r="O99" s="2207">
        <v>0</v>
      </c>
      <c r="P99" s="2207"/>
      <c r="Q99" s="2207"/>
      <c r="R99" s="2207"/>
      <c r="S99" s="2207"/>
      <c r="T99" s="2207"/>
      <c r="U99" s="2207"/>
      <c r="V99" s="2207">
        <v>0</v>
      </c>
      <c r="W99" s="2207"/>
      <c r="X99" s="2207"/>
      <c r="Y99" s="2207"/>
      <c r="Z99" s="2207"/>
      <c r="AA99" s="2207"/>
      <c r="AB99" s="2207">
        <v>0</v>
      </c>
      <c r="AC99" s="2207"/>
      <c r="AD99" s="2207"/>
      <c r="AE99" s="2207"/>
      <c r="AF99" s="2207"/>
      <c r="AG99" s="2207"/>
      <c r="AH99" s="2213"/>
      <c r="AI99" s="1206"/>
      <c r="AJ99" s="2248"/>
      <c r="AK99" s="2249"/>
      <c r="AL99" s="2249"/>
      <c r="AM99" s="2249"/>
      <c r="AN99" s="2249"/>
      <c r="AO99" s="2249"/>
      <c r="AP99" s="2249"/>
      <c r="AQ99" s="2249"/>
      <c r="AR99" s="2249"/>
      <c r="AS99" s="2249"/>
      <c r="AT99" s="2249"/>
      <c r="AU99" s="2249"/>
      <c r="AV99" s="2249"/>
      <c r="AW99" s="2249"/>
      <c r="AX99" s="2249"/>
      <c r="AY99" s="2252"/>
      <c r="AZ99" s="2252"/>
      <c r="BA99" s="2252"/>
      <c r="BB99" s="2253"/>
      <c r="BC99" s="1206"/>
      <c r="BD99" s="1206"/>
      <c r="BE99" s="1202"/>
    </row>
    <row r="100" spans="1:70" ht="15.75" customHeight="1">
      <c r="A100" s="1206"/>
      <c r="B100" s="2205" t="s">
        <v>2172</v>
      </c>
      <c r="C100" s="2206"/>
      <c r="D100" s="2206"/>
      <c r="E100" s="2206"/>
      <c r="F100" s="2206"/>
      <c r="G100" s="2206"/>
      <c r="H100" s="2206"/>
      <c r="I100" s="2207">
        <v>0</v>
      </c>
      <c r="J100" s="2207"/>
      <c r="K100" s="2207"/>
      <c r="L100" s="2207"/>
      <c r="M100" s="2207"/>
      <c r="N100" s="2207"/>
      <c r="O100" s="2207">
        <v>0</v>
      </c>
      <c r="P100" s="2207"/>
      <c r="Q100" s="2207"/>
      <c r="R100" s="2207"/>
      <c r="S100" s="2207"/>
      <c r="T100" s="2207"/>
      <c r="U100" s="2207"/>
      <c r="V100" s="2207">
        <v>0</v>
      </c>
      <c r="W100" s="2207"/>
      <c r="X100" s="2207"/>
      <c r="Y100" s="2207"/>
      <c r="Z100" s="2207"/>
      <c r="AA100" s="2207"/>
      <c r="AB100" s="2207">
        <v>0</v>
      </c>
      <c r="AC100" s="2207"/>
      <c r="AD100" s="2207"/>
      <c r="AE100" s="2207"/>
      <c r="AF100" s="2207"/>
      <c r="AG100" s="2207"/>
      <c r="AH100" s="2213"/>
      <c r="AI100" s="1206"/>
      <c r="AJ100" s="2219" t="s">
        <v>2487</v>
      </c>
      <c r="AK100" s="2220"/>
      <c r="AL100" s="2220"/>
      <c r="AM100" s="2220"/>
      <c r="AN100" s="2220"/>
      <c r="AO100" s="2220"/>
      <c r="AP100" s="2220"/>
      <c r="AQ100" s="2220"/>
      <c r="AR100" s="2220"/>
      <c r="AS100" s="2220"/>
      <c r="AT100" s="2220"/>
      <c r="AU100" s="2220"/>
      <c r="AV100" s="2220"/>
      <c r="AW100" s="2220"/>
      <c r="AX100" s="2220"/>
      <c r="AY100" s="2220"/>
      <c r="AZ100" s="2220"/>
      <c r="BA100" s="2220"/>
      <c r="BB100" s="2221"/>
      <c r="BC100" s="1206"/>
      <c r="BD100" s="1206"/>
      <c r="BE100" s="1202"/>
    </row>
    <row r="101" spans="1:70" ht="15.75" customHeight="1" thickBot="1">
      <c r="A101" s="1206"/>
      <c r="B101" s="2225" t="s">
        <v>1831</v>
      </c>
      <c r="C101" s="2226"/>
      <c r="D101" s="2226"/>
      <c r="E101" s="2226"/>
      <c r="F101" s="2226"/>
      <c r="G101" s="2226"/>
      <c r="H101" s="2226"/>
      <c r="I101" s="2227">
        <v>0</v>
      </c>
      <c r="J101" s="2227"/>
      <c r="K101" s="2227"/>
      <c r="L101" s="2227"/>
      <c r="M101" s="2227"/>
      <c r="N101" s="2227"/>
      <c r="O101" s="2227">
        <v>0</v>
      </c>
      <c r="P101" s="2227"/>
      <c r="Q101" s="2227"/>
      <c r="R101" s="2227"/>
      <c r="S101" s="2227"/>
      <c r="T101" s="2227"/>
      <c r="U101" s="2227"/>
      <c r="V101" s="2227">
        <v>0</v>
      </c>
      <c r="W101" s="2227"/>
      <c r="X101" s="2227"/>
      <c r="Y101" s="2227"/>
      <c r="Z101" s="2227"/>
      <c r="AA101" s="2227"/>
      <c r="AB101" s="2227">
        <v>0</v>
      </c>
      <c r="AC101" s="2227"/>
      <c r="AD101" s="2227"/>
      <c r="AE101" s="2227"/>
      <c r="AF101" s="2227"/>
      <c r="AG101" s="2227"/>
      <c r="AH101" s="2228"/>
      <c r="AI101" s="1206"/>
      <c r="AJ101" s="2222"/>
      <c r="AK101" s="2223"/>
      <c r="AL101" s="2223"/>
      <c r="AM101" s="2223"/>
      <c r="AN101" s="2223"/>
      <c r="AO101" s="2223"/>
      <c r="AP101" s="2223"/>
      <c r="AQ101" s="2223"/>
      <c r="AR101" s="2223"/>
      <c r="AS101" s="2223"/>
      <c r="AT101" s="2223"/>
      <c r="AU101" s="2223"/>
      <c r="AV101" s="2223"/>
      <c r="AW101" s="2223"/>
      <c r="AX101" s="2223"/>
      <c r="AY101" s="2223"/>
      <c r="AZ101" s="2223"/>
      <c r="BA101" s="2223"/>
      <c r="BB101" s="222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2613</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1862</v>
      </c>
      <c r="C104" s="1234"/>
      <c r="D104" s="1233"/>
      <c r="E104" s="1232"/>
      <c r="F104" s="2544"/>
      <c r="G104" s="2545"/>
      <c r="H104" s="2545"/>
      <c r="I104" s="2545"/>
      <c r="J104" s="2545"/>
      <c r="K104" s="2545"/>
      <c r="L104" s="2545"/>
      <c r="M104" s="2545"/>
      <c r="N104" s="2545"/>
      <c r="O104" s="2545"/>
      <c r="P104" s="2545"/>
      <c r="Q104" s="2545"/>
      <c r="R104" s="254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2612</v>
      </c>
      <c r="C105" s="1240"/>
      <c r="D105" s="1239"/>
      <c r="E105" s="1239"/>
      <c r="F105" s="1239"/>
      <c r="G105" s="1239"/>
      <c r="H105" s="1239"/>
      <c r="I105" s="1239"/>
      <c r="J105" s="1239"/>
      <c r="K105" s="1239"/>
      <c r="L105" s="1238"/>
      <c r="M105" s="1239"/>
      <c r="N105" s="1238"/>
      <c r="O105" s="2603" t="e">
        <f>BR98/SUM(BR96:BR98)</f>
        <v>#DIV/0!</v>
      </c>
      <c r="P105" s="2604"/>
      <c r="Q105" s="2604"/>
      <c r="R105" s="260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5" t="s">
        <v>2611</v>
      </c>
      <c r="C107" s="2466"/>
      <c r="D107" s="2466"/>
      <c r="E107" s="2466"/>
      <c r="F107" s="2466"/>
      <c r="G107" s="2466"/>
      <c r="H107" s="2466"/>
      <c r="I107" s="2466"/>
      <c r="J107" s="2466"/>
      <c r="K107" s="2466"/>
      <c r="L107" s="2466"/>
      <c r="M107" s="2466"/>
      <c r="N107" s="2466"/>
      <c r="O107" s="2466"/>
      <c r="P107" s="2466"/>
      <c r="Q107" s="2466"/>
      <c r="R107" s="2466"/>
      <c r="S107" s="2466"/>
      <c r="T107" s="2466"/>
      <c r="U107" s="2466"/>
      <c r="V107" s="2466"/>
      <c r="W107" s="2466"/>
      <c r="X107" s="2466"/>
      <c r="Y107" s="2466"/>
      <c r="Z107" s="2466"/>
      <c r="AA107" s="2466"/>
      <c r="AB107" s="2466"/>
      <c r="AC107" s="2466"/>
      <c r="AD107" s="2466"/>
      <c r="AE107" s="2466"/>
      <c r="AF107" s="2466"/>
      <c r="AG107" s="2466"/>
      <c r="AH107" s="246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5"/>
      <c r="C108" s="2206"/>
      <c r="D108" s="2206"/>
      <c r="E108" s="2206"/>
      <c r="F108" s="2206"/>
      <c r="G108" s="2206"/>
      <c r="H108" s="2206"/>
      <c r="I108" s="2206" t="s">
        <v>1828</v>
      </c>
      <c r="J108" s="2206"/>
      <c r="K108" s="2206"/>
      <c r="L108" s="2206"/>
      <c r="M108" s="2206"/>
      <c r="N108" s="2206"/>
      <c r="O108" s="2206" t="s">
        <v>1829</v>
      </c>
      <c r="P108" s="2206"/>
      <c r="Q108" s="2206"/>
      <c r="R108" s="2206"/>
      <c r="S108" s="2206"/>
      <c r="T108" s="2206"/>
      <c r="U108" s="2206"/>
      <c r="V108" s="2202" t="s">
        <v>2188</v>
      </c>
      <c r="W108" s="2202"/>
      <c r="X108" s="2202"/>
      <c r="Y108" s="2202"/>
      <c r="Z108" s="2202"/>
      <c r="AA108" s="2202"/>
      <c r="AB108" s="2203" t="s">
        <v>1830</v>
      </c>
      <c r="AC108" s="2203"/>
      <c r="AD108" s="2203"/>
      <c r="AE108" s="2203"/>
      <c r="AF108" s="2203"/>
      <c r="AG108" s="2203"/>
      <c r="AH108" s="220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5"/>
      <c r="C109" s="2206"/>
      <c r="D109" s="2206"/>
      <c r="E109" s="2206"/>
      <c r="F109" s="2206"/>
      <c r="G109" s="2206"/>
      <c r="H109" s="2206"/>
      <c r="I109" s="2206"/>
      <c r="J109" s="2206"/>
      <c r="K109" s="2206"/>
      <c r="L109" s="2206"/>
      <c r="M109" s="2206"/>
      <c r="N109" s="2206"/>
      <c r="O109" s="2206"/>
      <c r="P109" s="2206"/>
      <c r="Q109" s="2206"/>
      <c r="R109" s="2206"/>
      <c r="S109" s="2206"/>
      <c r="T109" s="2206"/>
      <c r="U109" s="2206"/>
      <c r="V109" s="2202"/>
      <c r="W109" s="2202"/>
      <c r="X109" s="2202"/>
      <c r="Y109" s="2202"/>
      <c r="Z109" s="2202"/>
      <c r="AA109" s="2202"/>
      <c r="AB109" s="2203"/>
      <c r="AC109" s="2203"/>
      <c r="AD109" s="2203"/>
      <c r="AE109" s="2203"/>
      <c r="AF109" s="2203"/>
      <c r="AG109" s="2203"/>
      <c r="AH109" s="220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5" t="s">
        <v>2171</v>
      </c>
      <c r="C110" s="2206"/>
      <c r="D110" s="2206"/>
      <c r="E110" s="2206"/>
      <c r="F110" s="2206"/>
      <c r="G110" s="2206"/>
      <c r="H110" s="2206"/>
      <c r="I110" s="2207">
        <v>0</v>
      </c>
      <c r="J110" s="2207"/>
      <c r="K110" s="2207"/>
      <c r="L110" s="2207"/>
      <c r="M110" s="2207"/>
      <c r="N110" s="2207"/>
      <c r="O110" s="2207">
        <v>0</v>
      </c>
      <c r="P110" s="2207"/>
      <c r="Q110" s="2207"/>
      <c r="R110" s="2207"/>
      <c r="S110" s="2207"/>
      <c r="T110" s="2207"/>
      <c r="U110" s="2207"/>
      <c r="V110" s="2207">
        <v>0</v>
      </c>
      <c r="W110" s="2207"/>
      <c r="X110" s="2207"/>
      <c r="Y110" s="2207"/>
      <c r="Z110" s="2207"/>
      <c r="AA110" s="2207"/>
      <c r="AB110" s="2207">
        <v>0</v>
      </c>
      <c r="AC110" s="2207"/>
      <c r="AD110" s="2207"/>
      <c r="AE110" s="2207"/>
      <c r="AF110" s="2207"/>
      <c r="AG110" s="2207"/>
      <c r="AH110" s="221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5" t="s">
        <v>2172</v>
      </c>
      <c r="C111" s="2206"/>
      <c r="D111" s="2206"/>
      <c r="E111" s="2206"/>
      <c r="F111" s="2206"/>
      <c r="G111" s="2206"/>
      <c r="H111" s="2206"/>
      <c r="I111" s="2207">
        <v>0</v>
      </c>
      <c r="J111" s="2207"/>
      <c r="K111" s="2207"/>
      <c r="L111" s="2207"/>
      <c r="M111" s="2207"/>
      <c r="N111" s="2207"/>
      <c r="O111" s="2207">
        <v>0</v>
      </c>
      <c r="P111" s="2207"/>
      <c r="Q111" s="2207"/>
      <c r="R111" s="2207"/>
      <c r="S111" s="2207"/>
      <c r="T111" s="2207"/>
      <c r="U111" s="2207"/>
      <c r="V111" s="2207">
        <v>0</v>
      </c>
      <c r="W111" s="2207"/>
      <c r="X111" s="2207"/>
      <c r="Y111" s="2207"/>
      <c r="Z111" s="2207"/>
      <c r="AA111" s="2207"/>
      <c r="AB111" s="2207">
        <v>0</v>
      </c>
      <c r="AC111" s="2207"/>
      <c r="AD111" s="2207"/>
      <c r="AE111" s="2207"/>
      <c r="AF111" s="2207"/>
      <c r="AG111" s="2207"/>
      <c r="AH111" s="221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5" t="s">
        <v>1831</v>
      </c>
      <c r="C112" s="2226"/>
      <c r="D112" s="2226"/>
      <c r="E112" s="2226"/>
      <c r="F112" s="2226"/>
      <c r="G112" s="2226"/>
      <c r="H112" s="2226"/>
      <c r="I112" s="2227">
        <v>0</v>
      </c>
      <c r="J112" s="2227"/>
      <c r="K112" s="2227"/>
      <c r="L112" s="2227"/>
      <c r="M112" s="2227"/>
      <c r="N112" s="2227"/>
      <c r="O112" s="2227">
        <v>0</v>
      </c>
      <c r="P112" s="2227"/>
      <c r="Q112" s="2227"/>
      <c r="R112" s="2227"/>
      <c r="S112" s="2227"/>
      <c r="T112" s="2227"/>
      <c r="U112" s="2227"/>
      <c r="V112" s="2227">
        <v>0</v>
      </c>
      <c r="W112" s="2227"/>
      <c r="X112" s="2227"/>
      <c r="Y112" s="2227"/>
      <c r="Z112" s="2227"/>
      <c r="AA112" s="2227"/>
      <c r="AB112" s="2227">
        <v>0</v>
      </c>
      <c r="AC112" s="2227"/>
      <c r="AD112" s="2227"/>
      <c r="AE112" s="2227"/>
      <c r="AF112" s="2227"/>
      <c r="AG112" s="2227"/>
      <c r="AH112" s="222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2610</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1862</v>
      </c>
      <c r="C115" s="1234"/>
      <c r="D115" s="1233"/>
      <c r="E115" s="1232"/>
      <c r="F115" s="2544"/>
      <c r="G115" s="2545"/>
      <c r="H115" s="2545"/>
      <c r="I115" s="2545"/>
      <c r="J115" s="2545"/>
      <c r="K115" s="2545"/>
      <c r="L115" s="2545"/>
      <c r="M115" s="2545"/>
      <c r="N115" s="2545"/>
      <c r="O115" s="2545"/>
      <c r="P115" s="2545"/>
      <c r="Q115" s="2545"/>
      <c r="R115" s="254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6" t="s">
        <v>2488</v>
      </c>
      <c r="C117" s="2247"/>
      <c r="D117" s="2247"/>
      <c r="E117" s="2247"/>
      <c r="F117" s="2247"/>
      <c r="G117" s="2247"/>
      <c r="H117" s="2247"/>
      <c r="I117" s="2247"/>
      <c r="J117" s="2247"/>
      <c r="K117" s="2247"/>
      <c r="L117" s="2247"/>
      <c r="M117" s="2247"/>
      <c r="N117" s="2247"/>
      <c r="O117" s="2247"/>
      <c r="P117" s="2247"/>
      <c r="Q117" s="2250" t="s">
        <v>554</v>
      </c>
      <c r="R117" s="2250"/>
      <c r="S117" s="2250"/>
      <c r="T117" s="225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8"/>
      <c r="C118" s="2249"/>
      <c r="D118" s="2249"/>
      <c r="E118" s="2249"/>
      <c r="F118" s="2249"/>
      <c r="G118" s="2249"/>
      <c r="H118" s="2249"/>
      <c r="I118" s="2249"/>
      <c r="J118" s="2249"/>
      <c r="K118" s="2249"/>
      <c r="L118" s="2249"/>
      <c r="M118" s="2249"/>
      <c r="N118" s="2249"/>
      <c r="O118" s="2249"/>
      <c r="P118" s="2249"/>
      <c r="Q118" s="2252"/>
      <c r="R118" s="2252"/>
      <c r="S118" s="2252"/>
      <c r="T118" s="225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8"/>
      <c r="C119" s="2249"/>
      <c r="D119" s="2249"/>
      <c r="E119" s="2249"/>
      <c r="F119" s="2249"/>
      <c r="G119" s="2249"/>
      <c r="H119" s="2249"/>
      <c r="I119" s="2249"/>
      <c r="J119" s="2249"/>
      <c r="K119" s="2249"/>
      <c r="L119" s="2249"/>
      <c r="M119" s="2249"/>
      <c r="N119" s="2249"/>
      <c r="O119" s="2249"/>
      <c r="P119" s="2249"/>
      <c r="Q119" s="2252"/>
      <c r="R119" s="2252"/>
      <c r="S119" s="2252"/>
      <c r="T119" s="225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8"/>
      <c r="C120" s="2249"/>
      <c r="D120" s="2249"/>
      <c r="E120" s="2249"/>
      <c r="F120" s="2249"/>
      <c r="G120" s="2249"/>
      <c r="H120" s="2249"/>
      <c r="I120" s="2249"/>
      <c r="J120" s="2249"/>
      <c r="K120" s="2249"/>
      <c r="L120" s="2249"/>
      <c r="M120" s="2249"/>
      <c r="N120" s="2249"/>
      <c r="O120" s="2249"/>
      <c r="P120" s="2249"/>
      <c r="Q120" s="2252"/>
      <c r="R120" s="2252"/>
      <c r="S120" s="2252"/>
      <c r="T120" s="225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9" t="s">
        <v>2189</v>
      </c>
      <c r="C121" s="2220"/>
      <c r="D121" s="2220"/>
      <c r="E121" s="2220"/>
      <c r="F121" s="2220"/>
      <c r="G121" s="2220"/>
      <c r="H121" s="2220"/>
      <c r="I121" s="2220"/>
      <c r="J121" s="2220"/>
      <c r="K121" s="2220"/>
      <c r="L121" s="2220"/>
      <c r="M121" s="2220"/>
      <c r="N121" s="2220"/>
      <c r="O121" s="2220"/>
      <c r="P121" s="2220"/>
      <c r="Q121" s="2220"/>
      <c r="R121" s="2220"/>
      <c r="S121" s="2220"/>
      <c r="T121" s="222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2"/>
      <c r="C122" s="2223"/>
      <c r="D122" s="2223"/>
      <c r="E122" s="2223"/>
      <c r="F122" s="2223"/>
      <c r="G122" s="2223"/>
      <c r="H122" s="2223"/>
      <c r="I122" s="2223"/>
      <c r="J122" s="2223"/>
      <c r="K122" s="2223"/>
      <c r="L122" s="2223"/>
      <c r="M122" s="2223"/>
      <c r="N122" s="2223"/>
      <c r="O122" s="2223"/>
      <c r="P122" s="2223"/>
      <c r="Q122" s="2223"/>
      <c r="R122" s="2223"/>
      <c r="S122" s="2223"/>
      <c r="T122" s="222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1832</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6" t="s">
        <v>2173</v>
      </c>
      <c r="Y125" s="2247"/>
      <c r="Z125" s="2247"/>
      <c r="AA125" s="2247"/>
      <c r="AB125" s="2247"/>
      <c r="AC125" s="2247"/>
      <c r="AD125" s="2247"/>
      <c r="AE125" s="2247"/>
      <c r="AF125" s="2247"/>
      <c r="AG125" s="2247"/>
      <c r="AH125" s="2247"/>
      <c r="AI125" s="2247"/>
      <c r="AJ125" s="2247"/>
      <c r="AK125" s="2247"/>
      <c r="AL125" s="2247"/>
      <c r="AM125" s="2247"/>
      <c r="AN125" s="2247"/>
      <c r="AO125" s="2247"/>
      <c r="AP125" s="2247"/>
      <c r="AQ125" s="2247"/>
      <c r="AR125" s="2247"/>
      <c r="AS125" s="2247"/>
      <c r="AT125" s="2247"/>
      <c r="AU125" s="2247"/>
      <c r="AV125" s="2247"/>
      <c r="AW125" s="2247"/>
      <c r="AX125" s="2247"/>
      <c r="AY125" s="2247"/>
      <c r="AZ125" s="2247"/>
      <c r="BA125" s="2247"/>
      <c r="BB125" s="2247"/>
      <c r="BC125" s="2247"/>
      <c r="BD125" s="2408"/>
      <c r="BE125" s="1202"/>
    </row>
    <row r="126" spans="1:57" ht="15.75" customHeight="1">
      <c r="A126" s="1206"/>
      <c r="B126" s="2410" t="s">
        <v>1688</v>
      </c>
      <c r="C126" s="2411"/>
      <c r="D126" s="2411"/>
      <c r="E126" s="2411"/>
      <c r="F126" s="2411"/>
      <c r="G126" s="2411"/>
      <c r="H126" s="2411"/>
      <c r="I126" s="2411"/>
      <c r="J126" s="2411"/>
      <c r="K126" s="2411"/>
      <c r="L126" s="2411"/>
      <c r="M126" s="2411"/>
      <c r="N126" s="2411"/>
      <c r="O126" s="2411"/>
      <c r="P126" s="2411"/>
      <c r="Q126" s="2411"/>
      <c r="R126" s="2411"/>
      <c r="S126" s="2411"/>
      <c r="T126" s="2411"/>
      <c r="U126" s="2412"/>
      <c r="V126" s="1206"/>
      <c r="W126" s="1206"/>
      <c r="X126" s="2248"/>
      <c r="Y126" s="2249"/>
      <c r="Z126" s="2249"/>
      <c r="AA126" s="2249"/>
      <c r="AB126" s="2249"/>
      <c r="AC126" s="2249"/>
      <c r="AD126" s="2249"/>
      <c r="AE126" s="2249"/>
      <c r="AF126" s="2249"/>
      <c r="AG126" s="2249"/>
      <c r="AH126" s="2249"/>
      <c r="AI126" s="2249"/>
      <c r="AJ126" s="2249"/>
      <c r="AK126" s="2249"/>
      <c r="AL126" s="2249"/>
      <c r="AM126" s="2249"/>
      <c r="AN126" s="2249"/>
      <c r="AO126" s="2249"/>
      <c r="AP126" s="2249"/>
      <c r="AQ126" s="2249"/>
      <c r="AR126" s="2249"/>
      <c r="AS126" s="2249"/>
      <c r="AT126" s="2249"/>
      <c r="AU126" s="2249"/>
      <c r="AV126" s="2249"/>
      <c r="AW126" s="2249"/>
      <c r="AX126" s="2249"/>
      <c r="AY126" s="2249"/>
      <c r="AZ126" s="2249"/>
      <c r="BA126" s="2249"/>
      <c r="BB126" s="2249"/>
      <c r="BC126" s="2249"/>
      <c r="BD126" s="2409"/>
      <c r="BE126" s="1202"/>
    </row>
    <row r="127" spans="1:57" ht="15.75" customHeight="1">
      <c r="A127" s="1206"/>
      <c r="B127" s="2413"/>
      <c r="C127" s="2414"/>
      <c r="D127" s="2414"/>
      <c r="E127" s="2414"/>
      <c r="F127" s="2414"/>
      <c r="G127" s="2414"/>
      <c r="H127" s="2414"/>
      <c r="I127" s="2206" t="s">
        <v>2174</v>
      </c>
      <c r="J127" s="2206"/>
      <c r="K127" s="2206"/>
      <c r="L127" s="2206"/>
      <c r="M127" s="2206"/>
      <c r="N127" s="2206"/>
      <c r="O127" s="2415" t="s">
        <v>2175</v>
      </c>
      <c r="P127" s="2415"/>
      <c r="Q127" s="2415"/>
      <c r="R127" s="2415"/>
      <c r="S127" s="2415"/>
      <c r="T127" s="2415"/>
      <c r="U127" s="2416"/>
      <c r="V127" s="1206"/>
      <c r="W127" s="1206"/>
      <c r="X127" s="2393" t="s">
        <v>2187</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2"/>
    </row>
    <row r="128" spans="1:57" ht="15.75" customHeight="1">
      <c r="A128" s="1206"/>
      <c r="B128" s="2419" t="s">
        <v>2176</v>
      </c>
      <c r="C128" s="2420"/>
      <c r="D128" s="2420"/>
      <c r="E128" s="2420"/>
      <c r="F128" s="2420"/>
      <c r="G128" s="2420"/>
      <c r="H128" s="2420"/>
      <c r="I128" s="2207">
        <v>0</v>
      </c>
      <c r="J128" s="2207"/>
      <c r="K128" s="2207"/>
      <c r="L128" s="2207"/>
      <c r="M128" s="2207"/>
      <c r="N128" s="2207"/>
      <c r="O128" s="2207">
        <v>0</v>
      </c>
      <c r="P128" s="2207"/>
      <c r="Q128" s="2207"/>
      <c r="R128" s="2207"/>
      <c r="S128" s="2207"/>
      <c r="T128" s="2207"/>
      <c r="U128" s="2213"/>
      <c r="V128" s="1206"/>
      <c r="W128" s="1206"/>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2"/>
    </row>
    <row r="129" spans="1:57" ht="15.75" customHeight="1" thickBot="1">
      <c r="A129" s="1206"/>
      <c r="B129" s="2421" t="s">
        <v>2177</v>
      </c>
      <c r="C129" s="2422"/>
      <c r="D129" s="2422"/>
      <c r="E129" s="2422"/>
      <c r="F129" s="2422"/>
      <c r="G129" s="2422"/>
      <c r="H129" s="2422"/>
      <c r="I129" s="2227">
        <v>0</v>
      </c>
      <c r="J129" s="2227"/>
      <c r="K129" s="2227"/>
      <c r="L129" s="2227"/>
      <c r="M129" s="2227"/>
      <c r="N129" s="2227"/>
      <c r="O129" s="2417"/>
      <c r="P129" s="2417"/>
      <c r="Q129" s="2417"/>
      <c r="R129" s="2417"/>
      <c r="S129" s="2417"/>
      <c r="T129" s="2417"/>
      <c r="U129" s="2418"/>
      <c r="V129" s="1206"/>
      <c r="W129" s="1206"/>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2"/>
    </row>
    <row r="131" spans="1:57" ht="15.75" customHeight="1" thickBot="1">
      <c r="A131" s="1206"/>
      <c r="B131" s="1228" t="s">
        <v>1833</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2"/>
    </row>
    <row r="133" spans="1:57" ht="15.75" customHeight="1">
      <c r="A133" s="1206"/>
      <c r="B133" s="2272" t="s">
        <v>1834</v>
      </c>
      <c r="C133" s="2273"/>
      <c r="D133" s="2273"/>
      <c r="E133" s="2273"/>
      <c r="F133" s="2273"/>
      <c r="G133" s="2273"/>
      <c r="H133" s="2273"/>
      <c r="I133" s="2273"/>
      <c r="J133" s="2273"/>
      <c r="K133" s="2273"/>
      <c r="L133" s="2273"/>
      <c r="M133" s="2273"/>
      <c r="N133" s="2273"/>
      <c r="O133" s="2273"/>
      <c r="P133" s="2273"/>
      <c r="Q133" s="2273"/>
      <c r="R133" s="2273"/>
      <c r="S133" s="2273"/>
      <c r="T133" s="2273"/>
      <c r="U133" s="2274"/>
      <c r="V133" s="1206"/>
      <c r="W133" s="1206"/>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2"/>
    </row>
    <row r="134" spans="1:57" ht="15.75" customHeight="1">
      <c r="A134" s="1206"/>
      <c r="B134" s="2413"/>
      <c r="C134" s="2414"/>
      <c r="D134" s="2414"/>
      <c r="E134" s="2414"/>
      <c r="F134" s="2414"/>
      <c r="G134" s="2414"/>
      <c r="H134" s="2414"/>
      <c r="I134" s="2437" t="s">
        <v>1829</v>
      </c>
      <c r="J134" s="2437"/>
      <c r="K134" s="2437"/>
      <c r="L134" s="2437"/>
      <c r="M134" s="2437"/>
      <c r="N134" s="2437"/>
      <c r="O134" s="2437"/>
      <c r="P134" s="2437" t="s">
        <v>2188</v>
      </c>
      <c r="Q134" s="2437"/>
      <c r="R134" s="2437"/>
      <c r="S134" s="2437"/>
      <c r="T134" s="2437"/>
      <c r="U134" s="2438"/>
      <c r="V134" s="1206"/>
      <c r="W134" s="1206"/>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2"/>
    </row>
    <row r="135" spans="1:57" ht="15.75" customHeight="1">
      <c r="A135" s="1206"/>
      <c r="B135" s="2413"/>
      <c r="C135" s="2414"/>
      <c r="D135" s="2414"/>
      <c r="E135" s="2414"/>
      <c r="F135" s="2414"/>
      <c r="G135" s="2414"/>
      <c r="H135" s="2414"/>
      <c r="I135" s="2437"/>
      <c r="J135" s="2437"/>
      <c r="K135" s="2437"/>
      <c r="L135" s="2437"/>
      <c r="M135" s="2437"/>
      <c r="N135" s="2437"/>
      <c r="O135" s="2437"/>
      <c r="P135" s="2437"/>
      <c r="Q135" s="2437"/>
      <c r="R135" s="2437"/>
      <c r="S135" s="2437"/>
      <c r="T135" s="2437"/>
      <c r="U135" s="2438"/>
      <c r="V135" s="1206"/>
      <c r="W135" s="1206"/>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2"/>
    </row>
    <row r="136" spans="1:57" ht="15.75" customHeight="1">
      <c r="A136" s="1206"/>
      <c r="B136" s="2419" t="s">
        <v>2176</v>
      </c>
      <c r="C136" s="2420"/>
      <c r="D136" s="2420"/>
      <c r="E136" s="2420"/>
      <c r="F136" s="2420"/>
      <c r="G136" s="2420"/>
      <c r="H136" s="2420"/>
      <c r="I136" s="2207">
        <v>0</v>
      </c>
      <c r="J136" s="2207"/>
      <c r="K136" s="2207"/>
      <c r="L136" s="2207"/>
      <c r="M136" s="2207"/>
      <c r="N136" s="2207"/>
      <c r="O136" s="2207"/>
      <c r="P136" s="2207">
        <v>0</v>
      </c>
      <c r="Q136" s="2207"/>
      <c r="R136" s="2207"/>
      <c r="S136" s="2207"/>
      <c r="T136" s="2207"/>
      <c r="U136" s="2213"/>
      <c r="V136" s="1206"/>
      <c r="W136" s="1206"/>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2"/>
    </row>
    <row r="137" spans="1:57" ht="15.75" customHeight="1" thickBot="1">
      <c r="A137" s="1206"/>
      <c r="B137" s="2421" t="s">
        <v>2177</v>
      </c>
      <c r="C137" s="2422"/>
      <c r="D137" s="2422"/>
      <c r="E137" s="2422"/>
      <c r="F137" s="2422"/>
      <c r="G137" s="2422"/>
      <c r="H137" s="2422"/>
      <c r="I137" s="2227">
        <v>0</v>
      </c>
      <c r="J137" s="2227"/>
      <c r="K137" s="2227"/>
      <c r="L137" s="2227"/>
      <c r="M137" s="2227"/>
      <c r="N137" s="2227"/>
      <c r="O137" s="2227"/>
      <c r="P137" s="2227">
        <v>0</v>
      </c>
      <c r="Q137" s="2227"/>
      <c r="R137" s="2227"/>
      <c r="S137" s="2227"/>
      <c r="T137" s="2227"/>
      <c r="U137" s="2228"/>
      <c r="V137" s="1206"/>
      <c r="W137" s="1206"/>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3" t="s">
        <v>1835</v>
      </c>
      <c r="C139" s="2424"/>
      <c r="D139" s="2424"/>
      <c r="E139" s="2424"/>
      <c r="F139" s="2424"/>
      <c r="G139" s="2424"/>
      <c r="H139" s="2424"/>
      <c r="I139" s="2424"/>
      <c r="J139" s="2424"/>
      <c r="K139" s="2424"/>
      <c r="L139" s="2424"/>
      <c r="M139" s="2424"/>
      <c r="N139" s="2424"/>
      <c r="O139" s="2424"/>
      <c r="P139" s="2424"/>
      <c r="Q139" s="2424"/>
      <c r="R139" s="2424"/>
      <c r="S139" s="2424"/>
      <c r="T139" s="2424"/>
      <c r="U139" s="2424"/>
      <c r="V139" s="2424"/>
      <c r="W139" s="2424"/>
      <c r="X139" s="2424"/>
      <c r="Y139" s="2424"/>
      <c r="Z139" s="2424"/>
      <c r="AA139" s="2424"/>
      <c r="AB139" s="2424"/>
      <c r="AC139" s="2424"/>
      <c r="AD139" s="2424"/>
      <c r="AE139" s="2424"/>
      <c r="AF139" s="2424"/>
      <c r="AG139" s="2424"/>
      <c r="AH139" s="2425" t="s">
        <v>554</v>
      </c>
      <c r="AI139" s="2425"/>
      <c r="AJ139" s="2425"/>
      <c r="AK139" s="2425"/>
      <c r="AL139" s="2425"/>
      <c r="AM139" s="2425"/>
      <c r="AN139" s="2425"/>
      <c r="AO139" s="2425"/>
      <c r="AP139" s="2425"/>
      <c r="AQ139" s="2425"/>
      <c r="AR139" s="2425"/>
      <c r="AS139" s="2425"/>
      <c r="AT139" s="2425"/>
      <c r="AU139" s="2425"/>
      <c r="AV139" s="2425"/>
      <c r="AW139" s="2425"/>
      <c r="AX139" s="2426"/>
      <c r="AY139" s="1206"/>
      <c r="AZ139" s="1206"/>
      <c r="BA139" s="1206"/>
      <c r="BB139" s="1206"/>
      <c r="BC139" s="1206"/>
      <c r="BD139" s="1206"/>
      <c r="BE139" s="1202"/>
    </row>
    <row r="140" spans="1:57" ht="15.75" customHeight="1">
      <c r="A140" s="1206"/>
      <c r="B140" s="2427" t="s">
        <v>1836</v>
      </c>
      <c r="C140" s="2428"/>
      <c r="D140" s="2428"/>
      <c r="E140" s="2428"/>
      <c r="F140" s="2428"/>
      <c r="G140" s="2428"/>
      <c r="H140" s="2428"/>
      <c r="I140" s="2428"/>
      <c r="J140" s="2428"/>
      <c r="K140" s="2428"/>
      <c r="L140" s="2428"/>
      <c r="M140" s="2428"/>
      <c r="N140" s="2428"/>
      <c r="O140" s="2428"/>
      <c r="P140" s="2428"/>
      <c r="Q140" s="2428"/>
      <c r="R140" s="2429" t="s">
        <v>2190</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6"/>
      <c r="AZ140" s="1206"/>
      <c r="BA140" s="1206"/>
      <c r="BB140" s="1206"/>
      <c r="BC140" s="1206" t="s">
        <v>251</v>
      </c>
      <c r="BD140" s="1206"/>
      <c r="BE140" s="1202"/>
    </row>
    <row r="141" spans="1:57" ht="15.75" customHeight="1">
      <c r="A141" s="1206"/>
      <c r="B141" s="2431" t="s">
        <v>2191</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6"/>
      <c r="AZ141" s="1206"/>
      <c r="BA141" s="1206"/>
      <c r="BB141" s="1206"/>
      <c r="BC141" s="1206"/>
      <c r="BD141" s="1206"/>
      <c r="BE141" s="1202"/>
    </row>
    <row r="142" spans="1:57" ht="15.75" customHeight="1">
      <c r="A142" s="1206"/>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6"/>
      <c r="AZ142" s="1206"/>
      <c r="BA142" s="1206"/>
      <c r="BB142" s="1206"/>
      <c r="BC142" s="1206"/>
      <c r="BD142" s="1206"/>
      <c r="BE142" s="1202"/>
    </row>
    <row r="143" spans="1:57" ht="15.75" customHeight="1">
      <c r="A143" s="1206"/>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6"/>
      <c r="AZ143" s="1206"/>
      <c r="BA143" s="1206"/>
      <c r="BB143" s="1206"/>
      <c r="BC143" s="1206"/>
      <c r="BD143" s="1206"/>
      <c r="BE143" s="1202"/>
    </row>
    <row r="144" spans="1:57" ht="15.75" customHeight="1">
      <c r="A144" s="1206"/>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6"/>
      <c r="AZ144" s="1206"/>
      <c r="BA144" s="1206"/>
      <c r="BB144" s="1206"/>
      <c r="BC144" s="1206"/>
      <c r="BD144" s="1206"/>
      <c r="BE144" s="1202"/>
    </row>
    <row r="145" spans="1:57" ht="15.75" customHeight="1">
      <c r="A145" s="1206"/>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6"/>
      <c r="AZ145" s="1206"/>
      <c r="BA145" s="1206"/>
      <c r="BB145" s="1206"/>
      <c r="BC145" s="1206"/>
      <c r="BD145" s="1206"/>
      <c r="BE145" s="1202"/>
    </row>
    <row r="146" spans="1:57" ht="15.75" customHeight="1">
      <c r="A146" s="1206"/>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6"/>
      <c r="AZ146" s="1206"/>
      <c r="BA146" s="1206"/>
      <c r="BB146" s="1206"/>
      <c r="BC146" s="1206"/>
      <c r="BD146" s="1206"/>
      <c r="BE146" s="1202"/>
    </row>
    <row r="147" spans="1:57" ht="15.75" customHeight="1">
      <c r="A147" s="1206"/>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6"/>
      <c r="AZ147" s="1206"/>
      <c r="BA147" s="1206"/>
      <c r="BB147" s="1206"/>
      <c r="BC147" s="1206"/>
      <c r="BD147" s="1206"/>
      <c r="BE147" s="1202"/>
    </row>
    <row r="148" spans="1:57" ht="15.75" customHeight="1">
      <c r="A148" s="1206"/>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6"/>
      <c r="AZ148" s="1206"/>
      <c r="BA148" s="1206"/>
      <c r="BB148" s="1206"/>
      <c r="BC148" s="1206"/>
      <c r="BD148" s="1206"/>
      <c r="BE148" s="1202"/>
    </row>
    <row r="149" spans="1:57" ht="15.75" customHeight="1">
      <c r="A149" s="1206"/>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6"/>
      <c r="AZ149" s="1206"/>
      <c r="BA149" s="1206"/>
      <c r="BB149" s="1206"/>
      <c r="BC149" s="1206"/>
      <c r="BD149" s="1206"/>
      <c r="BE149" s="1202"/>
    </row>
    <row r="150" spans="1:57" ht="15.75" customHeight="1" thickBot="1">
      <c r="A150" s="1206"/>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1837</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2192</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0" t="s">
        <v>1838</v>
      </c>
      <c r="C154" s="2361"/>
      <c r="D154" s="2361"/>
      <c r="E154" s="2361"/>
      <c r="F154" s="2361"/>
      <c r="G154" s="2361"/>
      <c r="H154" s="2361"/>
      <c r="I154" s="2361"/>
      <c r="J154" s="2361"/>
      <c r="K154" s="2361"/>
      <c r="L154" s="2361"/>
      <c r="M154" s="2361"/>
      <c r="N154" s="2361"/>
      <c r="O154" s="2361"/>
      <c r="P154" s="2361"/>
      <c r="Q154" s="2361"/>
      <c r="R154" s="2361"/>
      <c r="S154" s="2361"/>
      <c r="T154" s="2361"/>
      <c r="U154" s="2362"/>
      <c r="V154" s="1206"/>
      <c r="W154" s="1214"/>
      <c r="X154" s="2360" t="s">
        <v>2193</v>
      </c>
      <c r="Y154" s="2361"/>
      <c r="Z154" s="2361"/>
      <c r="AA154" s="2361"/>
      <c r="AB154" s="2361"/>
      <c r="AC154" s="2361"/>
      <c r="AD154" s="2361"/>
      <c r="AE154" s="2361"/>
      <c r="AF154" s="2361"/>
      <c r="AG154" s="2361"/>
      <c r="AH154" s="2361"/>
      <c r="AI154" s="2361"/>
      <c r="AJ154" s="2361"/>
      <c r="AK154" s="2361"/>
      <c r="AL154" s="2361"/>
      <c r="AM154" s="2361"/>
      <c r="AN154" s="2361"/>
      <c r="AO154" s="2361"/>
      <c r="AP154" s="2361"/>
      <c r="AQ154" s="2362"/>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3"/>
      <c r="C155" s="2414"/>
      <c r="D155" s="2414"/>
      <c r="E155" s="2414"/>
      <c r="F155" s="2414"/>
      <c r="G155" s="2414"/>
      <c r="H155" s="2414"/>
      <c r="I155" s="2437" t="s">
        <v>1829</v>
      </c>
      <c r="J155" s="2437"/>
      <c r="K155" s="2437"/>
      <c r="L155" s="2437"/>
      <c r="M155" s="2437"/>
      <c r="N155" s="2437"/>
      <c r="O155" s="2437"/>
      <c r="P155" s="2437" t="s">
        <v>2194</v>
      </c>
      <c r="Q155" s="2437"/>
      <c r="R155" s="2437"/>
      <c r="S155" s="2437"/>
      <c r="T155" s="2437"/>
      <c r="U155" s="2438"/>
      <c r="V155" s="1206"/>
      <c r="W155" s="1206"/>
      <c r="X155" s="2413"/>
      <c r="Y155" s="2414"/>
      <c r="Z155" s="2414"/>
      <c r="AA155" s="2414"/>
      <c r="AB155" s="2414"/>
      <c r="AC155" s="2414"/>
      <c r="AD155" s="2414"/>
      <c r="AE155" s="2437" t="s">
        <v>1829</v>
      </c>
      <c r="AF155" s="2437"/>
      <c r="AG155" s="2437"/>
      <c r="AH155" s="2437"/>
      <c r="AI155" s="2437"/>
      <c r="AJ155" s="2437"/>
      <c r="AK155" s="2437"/>
      <c r="AL155" s="2437" t="s">
        <v>2188</v>
      </c>
      <c r="AM155" s="2437"/>
      <c r="AN155" s="2437"/>
      <c r="AO155" s="2437"/>
      <c r="AP155" s="2437"/>
      <c r="AQ155" s="243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3"/>
      <c r="C156" s="2414"/>
      <c r="D156" s="2414"/>
      <c r="E156" s="2414"/>
      <c r="F156" s="2414"/>
      <c r="G156" s="2414"/>
      <c r="H156" s="2414"/>
      <c r="I156" s="2437"/>
      <c r="J156" s="2437"/>
      <c r="K156" s="2437"/>
      <c r="L156" s="2437"/>
      <c r="M156" s="2437"/>
      <c r="N156" s="2437"/>
      <c r="O156" s="2437"/>
      <c r="P156" s="2437"/>
      <c r="Q156" s="2437"/>
      <c r="R156" s="2437"/>
      <c r="S156" s="2437"/>
      <c r="T156" s="2437"/>
      <c r="U156" s="2438"/>
      <c r="V156" s="1206"/>
      <c r="W156" s="1206"/>
      <c r="X156" s="2413"/>
      <c r="Y156" s="2414"/>
      <c r="Z156" s="2414"/>
      <c r="AA156" s="2414"/>
      <c r="AB156" s="2414"/>
      <c r="AC156" s="2414"/>
      <c r="AD156" s="2414"/>
      <c r="AE156" s="2437"/>
      <c r="AF156" s="2437"/>
      <c r="AG156" s="2437"/>
      <c r="AH156" s="2437"/>
      <c r="AI156" s="2437"/>
      <c r="AJ156" s="2437"/>
      <c r="AK156" s="2437"/>
      <c r="AL156" s="2437"/>
      <c r="AM156" s="2437"/>
      <c r="AN156" s="2437"/>
      <c r="AO156" s="2437"/>
      <c r="AP156" s="2437"/>
      <c r="AQ156" s="243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9" t="s">
        <v>2176</v>
      </c>
      <c r="C157" s="2420"/>
      <c r="D157" s="2420"/>
      <c r="E157" s="2420"/>
      <c r="F157" s="2420"/>
      <c r="G157" s="2420"/>
      <c r="H157" s="2420"/>
      <c r="I157" s="2207">
        <v>0</v>
      </c>
      <c r="J157" s="2207"/>
      <c r="K157" s="2207"/>
      <c r="L157" s="2207"/>
      <c r="M157" s="2207"/>
      <c r="N157" s="2207"/>
      <c r="O157" s="2207"/>
      <c r="P157" s="2207">
        <v>0</v>
      </c>
      <c r="Q157" s="2207"/>
      <c r="R157" s="2207"/>
      <c r="S157" s="2207"/>
      <c r="T157" s="2207"/>
      <c r="U157" s="2213"/>
      <c r="V157" s="1206"/>
      <c r="W157" s="1206"/>
      <c r="X157" s="2421" t="s">
        <v>2176</v>
      </c>
      <c r="Y157" s="2422"/>
      <c r="Z157" s="2422"/>
      <c r="AA157" s="2422"/>
      <c r="AB157" s="2422"/>
      <c r="AC157" s="2422"/>
      <c r="AD157" s="2422"/>
      <c r="AE157" s="2227">
        <v>0</v>
      </c>
      <c r="AF157" s="2227"/>
      <c r="AG157" s="2227"/>
      <c r="AH157" s="2227"/>
      <c r="AI157" s="2227"/>
      <c r="AJ157" s="2227"/>
      <c r="AK157" s="2227"/>
      <c r="AL157" s="2227">
        <v>0</v>
      </c>
      <c r="AM157" s="2227"/>
      <c r="AN157" s="2227"/>
      <c r="AO157" s="2227"/>
      <c r="AP157" s="2227"/>
      <c r="AQ157" s="222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1" t="s">
        <v>2177</v>
      </c>
      <c r="C158" s="2422"/>
      <c r="D158" s="2422"/>
      <c r="E158" s="2422"/>
      <c r="F158" s="2422"/>
      <c r="G158" s="2422"/>
      <c r="H158" s="2422"/>
      <c r="I158" s="2227">
        <v>0</v>
      </c>
      <c r="J158" s="2227"/>
      <c r="K158" s="2227"/>
      <c r="L158" s="2227"/>
      <c r="M158" s="2227"/>
      <c r="N158" s="2227"/>
      <c r="O158" s="2227"/>
      <c r="P158" s="2227">
        <v>0</v>
      </c>
      <c r="Q158" s="2227"/>
      <c r="R158" s="2227"/>
      <c r="S158" s="2227"/>
      <c r="T158" s="2227"/>
      <c r="U158" s="222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0" t="s">
        <v>2178</v>
      </c>
      <c r="D160" s="2361"/>
      <c r="E160" s="2361"/>
      <c r="F160" s="2361"/>
      <c r="G160" s="2361"/>
      <c r="H160" s="2361"/>
      <c r="I160" s="2361"/>
      <c r="J160" s="2361"/>
      <c r="K160" s="2361"/>
      <c r="L160" s="2361"/>
      <c r="M160" s="2361"/>
      <c r="N160" s="2361"/>
      <c r="O160" s="2361"/>
      <c r="P160" s="2361"/>
      <c r="Q160" s="2361"/>
      <c r="R160" s="2361"/>
      <c r="S160" s="2361"/>
      <c r="T160" s="2361"/>
      <c r="U160" s="2361"/>
      <c r="V160" s="2361"/>
      <c r="W160" s="2361"/>
      <c r="X160" s="2361"/>
      <c r="Y160" s="2361"/>
      <c r="Z160" s="2361"/>
      <c r="AA160" s="2361"/>
      <c r="AB160" s="2361"/>
      <c r="AC160" s="2361"/>
      <c r="AD160" s="2361"/>
      <c r="AE160" s="2361"/>
      <c r="AF160" s="2361"/>
      <c r="AG160" s="236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3" t="s">
        <v>1839</v>
      </c>
      <c r="D161" s="2414"/>
      <c r="E161" s="2414"/>
      <c r="F161" s="2414"/>
      <c r="G161" s="2414"/>
      <c r="H161" s="2414"/>
      <c r="I161" s="2414"/>
      <c r="J161" s="2414"/>
      <c r="K161" s="2414"/>
      <c r="L161" s="2414"/>
      <c r="M161" s="2414"/>
      <c r="N161" s="2414"/>
      <c r="O161" s="2414"/>
      <c r="P161" s="2414"/>
      <c r="Q161" s="2414" t="s">
        <v>1840</v>
      </c>
      <c r="R161" s="2414"/>
      <c r="S161" s="2414"/>
      <c r="T161" s="2203" t="s">
        <v>2179</v>
      </c>
      <c r="U161" s="2203"/>
      <c r="V161" s="2203"/>
      <c r="W161" s="2203"/>
      <c r="X161" s="2203"/>
      <c r="Y161" s="2203"/>
      <c r="Z161" s="2203"/>
      <c r="AA161" s="2203"/>
      <c r="AB161" s="2414" t="s">
        <v>1841</v>
      </c>
      <c r="AC161" s="2414"/>
      <c r="AD161" s="2414"/>
      <c r="AE161" s="2414"/>
      <c r="AF161" s="2414"/>
      <c r="AG161" s="243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0" t="s">
        <v>1842</v>
      </c>
      <c r="D162" s="2441"/>
      <c r="E162" s="2441"/>
      <c r="F162" s="2441"/>
      <c r="G162" s="2441"/>
      <c r="H162" s="2441"/>
      <c r="I162" s="2441"/>
      <c r="J162" s="2441"/>
      <c r="K162" s="2441"/>
      <c r="L162" s="2441"/>
      <c r="M162" s="2441"/>
      <c r="N162" s="2441"/>
      <c r="O162" s="2441"/>
      <c r="P162" s="2441"/>
      <c r="Q162" s="2442">
        <v>55</v>
      </c>
      <c r="R162" s="2442"/>
      <c r="S162" s="2442"/>
      <c r="T162" s="2443"/>
      <c r="U162" s="2443"/>
      <c r="V162" s="2443"/>
      <c r="W162" s="2443"/>
      <c r="X162" s="2443"/>
      <c r="Y162" s="2443"/>
      <c r="Z162" s="2443"/>
      <c r="AA162" s="2443"/>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0" t="s">
        <v>1843</v>
      </c>
      <c r="D163" s="2441"/>
      <c r="E163" s="2441"/>
      <c r="F163" s="2441"/>
      <c r="G163" s="2441"/>
      <c r="H163" s="2441"/>
      <c r="I163" s="2441"/>
      <c r="J163" s="2441"/>
      <c r="K163" s="2441"/>
      <c r="L163" s="2441"/>
      <c r="M163" s="2441"/>
      <c r="N163" s="2441"/>
      <c r="O163" s="2441"/>
      <c r="P163" s="2441"/>
      <c r="Q163" s="2442">
        <v>55</v>
      </c>
      <c r="R163" s="2442"/>
      <c r="S163" s="2442"/>
      <c r="T163" s="2446"/>
      <c r="U163" s="2446"/>
      <c r="V163" s="2446"/>
      <c r="W163" s="2446"/>
      <c r="X163" s="2446"/>
      <c r="Y163" s="2446"/>
      <c r="Z163" s="2446"/>
      <c r="AA163" s="244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0" t="s">
        <v>1844</v>
      </c>
      <c r="D164" s="2441"/>
      <c r="E164" s="2441"/>
      <c r="F164" s="2441"/>
      <c r="G164" s="2441"/>
      <c r="H164" s="2441"/>
      <c r="I164" s="2441"/>
      <c r="J164" s="2441"/>
      <c r="K164" s="2441"/>
      <c r="L164" s="2441"/>
      <c r="M164" s="2441"/>
      <c r="N164" s="2441"/>
      <c r="O164" s="2441"/>
      <c r="P164" s="2441"/>
      <c r="Q164" s="2442">
        <v>55</v>
      </c>
      <c r="R164" s="2442"/>
      <c r="S164" s="2442"/>
      <c r="T164" s="2443"/>
      <c r="U164" s="2443"/>
      <c r="V164" s="2443"/>
      <c r="W164" s="2443"/>
      <c r="X164" s="2443"/>
      <c r="Y164" s="2443"/>
      <c r="Z164" s="2443"/>
      <c r="AA164" s="244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0" t="s">
        <v>1815</v>
      </c>
      <c r="D165" s="2441"/>
      <c r="E165" s="2441"/>
      <c r="F165" s="2441"/>
      <c r="G165" s="2441"/>
      <c r="H165" s="2441"/>
      <c r="I165" s="2441"/>
      <c r="J165" s="2441"/>
      <c r="K165" s="2441"/>
      <c r="L165" s="2441"/>
      <c r="M165" s="2441"/>
      <c r="N165" s="2441"/>
      <c r="O165" s="2441"/>
      <c r="P165" s="2441"/>
      <c r="Q165" s="2442">
        <v>55</v>
      </c>
      <c r="R165" s="2442"/>
      <c r="S165" s="2442"/>
      <c r="T165" s="2443"/>
      <c r="U165" s="2443"/>
      <c r="V165" s="2443"/>
      <c r="W165" s="2443"/>
      <c r="X165" s="2443"/>
      <c r="Y165" s="2443"/>
      <c r="Z165" s="2443"/>
      <c r="AA165" s="2443"/>
      <c r="AB165" s="2444">
        <v>0</v>
      </c>
      <c r="AC165" s="2444"/>
      <c r="AD165" s="2444"/>
      <c r="AE165" s="2444"/>
      <c r="AF165" s="2444"/>
      <c r="AG165" s="244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0" t="s">
        <v>170</v>
      </c>
      <c r="D166" s="2441"/>
      <c r="E166" s="2441"/>
      <c r="F166" s="2447" t="s">
        <v>1845</v>
      </c>
      <c r="G166" s="2447"/>
      <c r="H166" s="2447"/>
      <c r="I166" s="2447"/>
      <c r="J166" s="2447"/>
      <c r="K166" s="2447"/>
      <c r="L166" s="2447"/>
      <c r="M166" s="2447"/>
      <c r="N166" s="2447"/>
      <c r="O166" s="2447"/>
      <c r="P166" s="2447"/>
      <c r="Q166" s="2442">
        <v>55</v>
      </c>
      <c r="R166" s="2442"/>
      <c r="S166" s="2442"/>
      <c r="T166" s="2446"/>
      <c r="U166" s="2446"/>
      <c r="V166" s="2446"/>
      <c r="W166" s="2446"/>
      <c r="X166" s="2446"/>
      <c r="Y166" s="2446"/>
      <c r="Z166" s="2446"/>
      <c r="AA166" s="2446"/>
      <c r="AB166" s="2444">
        <v>0</v>
      </c>
      <c r="AC166" s="2444"/>
      <c r="AD166" s="2444"/>
      <c r="AE166" s="2444"/>
      <c r="AF166" s="2444"/>
      <c r="AG166" s="244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0" t="s">
        <v>170</v>
      </c>
      <c r="D167" s="2441"/>
      <c r="E167" s="2441"/>
      <c r="F167" s="2447" t="s">
        <v>1845</v>
      </c>
      <c r="G167" s="2447"/>
      <c r="H167" s="2447"/>
      <c r="I167" s="2447"/>
      <c r="J167" s="2447"/>
      <c r="K167" s="2447"/>
      <c r="L167" s="2447"/>
      <c r="M167" s="2447"/>
      <c r="N167" s="2447"/>
      <c r="O167" s="2447"/>
      <c r="P167" s="2447"/>
      <c r="Q167" s="2442">
        <v>55</v>
      </c>
      <c r="R167" s="2442"/>
      <c r="S167" s="2442"/>
      <c r="T167" s="2446"/>
      <c r="U167" s="2446"/>
      <c r="V167" s="2446"/>
      <c r="W167" s="2446"/>
      <c r="X167" s="2446"/>
      <c r="Y167" s="2446"/>
      <c r="Z167" s="2446"/>
      <c r="AA167" s="2446"/>
      <c r="AB167" s="2444">
        <v>0</v>
      </c>
      <c r="AC167" s="2444"/>
      <c r="AD167" s="2444"/>
      <c r="AE167" s="2444"/>
      <c r="AF167" s="2444"/>
      <c r="AG167" s="2445"/>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8" t="s">
        <v>170</v>
      </c>
      <c r="D168" s="2449"/>
      <c r="E168" s="2449"/>
      <c r="F168" s="2450" t="s">
        <v>1845</v>
      </c>
      <c r="G168" s="2450"/>
      <c r="H168" s="2450"/>
      <c r="I168" s="2450"/>
      <c r="J168" s="2450"/>
      <c r="K168" s="2450"/>
      <c r="L168" s="2450"/>
      <c r="M168" s="2450"/>
      <c r="N168" s="2450"/>
      <c r="O168" s="2450"/>
      <c r="P168" s="2450"/>
      <c r="Q168" s="2451">
        <v>55</v>
      </c>
      <c r="R168" s="2451"/>
      <c r="S168" s="2451"/>
      <c r="T168" s="2452"/>
      <c r="U168" s="2452"/>
      <c r="V168" s="2452"/>
      <c r="W168" s="2452"/>
      <c r="X168" s="2452"/>
      <c r="Y168" s="2452"/>
      <c r="Z168" s="2452"/>
      <c r="AA168" s="2452"/>
      <c r="AB168" s="2453">
        <v>0</v>
      </c>
      <c r="AC168" s="2453"/>
      <c r="AD168" s="2453"/>
      <c r="AE168" s="2453"/>
      <c r="AF168" s="2453"/>
      <c r="AG168" s="245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5" t="s">
        <v>1846</v>
      </c>
      <c r="D170" s="2466"/>
      <c r="E170" s="2466"/>
      <c r="F170" s="2466"/>
      <c r="G170" s="2466"/>
      <c r="H170" s="2466"/>
      <c r="I170" s="2466"/>
      <c r="J170" s="2466"/>
      <c r="K170" s="2466"/>
      <c r="L170" s="2466"/>
      <c r="M170" s="2466"/>
      <c r="N170" s="2467"/>
      <c r="O170" s="1206"/>
      <c r="P170" s="2423" t="s">
        <v>1847</v>
      </c>
      <c r="Q170" s="2424"/>
      <c r="R170" s="2424"/>
      <c r="S170" s="2424"/>
      <c r="T170" s="2424"/>
      <c r="U170" s="2424"/>
      <c r="V170" s="2424"/>
      <c r="W170" s="2424"/>
      <c r="X170" s="2424"/>
      <c r="Y170" s="2424"/>
      <c r="Z170" s="2424"/>
      <c r="AA170" s="2424"/>
      <c r="AB170" s="2424"/>
      <c r="AC170" s="2424"/>
      <c r="AD170" s="2424"/>
      <c r="AE170" s="2424"/>
      <c r="AF170" s="2424"/>
      <c r="AG170" s="2424"/>
      <c r="AH170" s="2424"/>
      <c r="AI170" s="2424"/>
      <c r="AJ170" s="2424"/>
      <c r="AK170" s="2424"/>
      <c r="AL170" s="2424"/>
      <c r="AM170" s="2424"/>
      <c r="AN170" s="2424"/>
      <c r="AO170" s="246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3" t="s">
        <v>1848</v>
      </c>
      <c r="D171" s="2414"/>
      <c r="E171" s="2414"/>
      <c r="F171" s="2414"/>
      <c r="G171" s="2414"/>
      <c r="H171" s="2414"/>
      <c r="I171" s="2414" t="s">
        <v>1849</v>
      </c>
      <c r="J171" s="2414"/>
      <c r="K171" s="2414"/>
      <c r="L171" s="2414"/>
      <c r="M171" s="2414"/>
      <c r="N171" s="2439"/>
      <c r="O171" s="1206"/>
      <c r="P171" s="2393" t="s">
        <v>2187</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9"/>
      <c r="D172" s="2369"/>
      <c r="E172" s="2369"/>
      <c r="F172" s="2369"/>
      <c r="G172" s="2369"/>
      <c r="H172" s="2369"/>
      <c r="I172" s="2443"/>
      <c r="J172" s="2443"/>
      <c r="K172" s="2443"/>
      <c r="L172" s="2443"/>
      <c r="M172" s="2443"/>
      <c r="N172" s="2469"/>
      <c r="O172" s="1206"/>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9"/>
      <c r="D173" s="2369"/>
      <c r="E173" s="2369"/>
      <c r="F173" s="2369"/>
      <c r="G173" s="2369"/>
      <c r="H173" s="2369"/>
      <c r="I173" s="2443"/>
      <c r="J173" s="2443"/>
      <c r="K173" s="2443"/>
      <c r="L173" s="2443"/>
      <c r="M173" s="2443"/>
      <c r="N173" s="2469"/>
      <c r="O173" s="1206"/>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9"/>
      <c r="D174" s="2369"/>
      <c r="E174" s="2369"/>
      <c r="F174" s="2369"/>
      <c r="G174" s="2369"/>
      <c r="H174" s="2369"/>
      <c r="I174" s="2443"/>
      <c r="J174" s="2443"/>
      <c r="K174" s="2443"/>
      <c r="L174" s="2443"/>
      <c r="M174" s="2443"/>
      <c r="N174" s="2469"/>
      <c r="O174" s="1206"/>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9"/>
      <c r="D175" s="2369"/>
      <c r="E175" s="2369"/>
      <c r="F175" s="2369"/>
      <c r="G175" s="2369"/>
      <c r="H175" s="2369"/>
      <c r="I175" s="2443"/>
      <c r="J175" s="2443"/>
      <c r="K175" s="2443"/>
      <c r="L175" s="2443"/>
      <c r="M175" s="2443"/>
      <c r="N175" s="2469"/>
      <c r="O175" s="1206"/>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9"/>
      <c r="D176" s="2369"/>
      <c r="E176" s="2369"/>
      <c r="F176" s="2369"/>
      <c r="G176" s="2369"/>
      <c r="H176" s="2369"/>
      <c r="I176" s="2443"/>
      <c r="J176" s="2443"/>
      <c r="K176" s="2443"/>
      <c r="L176" s="2443"/>
      <c r="M176" s="2443"/>
      <c r="N176" s="2469"/>
      <c r="O176" s="1206"/>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9"/>
      <c r="D177" s="2369"/>
      <c r="E177" s="2369"/>
      <c r="F177" s="2369"/>
      <c r="G177" s="2369"/>
      <c r="H177" s="2369"/>
      <c r="I177" s="2443"/>
      <c r="J177" s="2443"/>
      <c r="K177" s="2443"/>
      <c r="L177" s="2443"/>
      <c r="M177" s="2443"/>
      <c r="N177" s="2469"/>
      <c r="O177" s="1206"/>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5"/>
      <c r="D178" s="2456"/>
      <c r="E178" s="2456"/>
      <c r="F178" s="2456"/>
      <c r="G178" s="2456"/>
      <c r="H178" s="2456"/>
      <c r="I178" s="2457"/>
      <c r="J178" s="2457"/>
      <c r="K178" s="2457"/>
      <c r="L178" s="2457"/>
      <c r="M178" s="2457"/>
      <c r="N178" s="2458"/>
      <c r="O178" s="1206"/>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9" t="s">
        <v>2489</v>
      </c>
      <c r="D180" s="2460"/>
      <c r="E180" s="2460"/>
      <c r="F180" s="2460"/>
      <c r="G180" s="2460"/>
      <c r="H180" s="2460"/>
      <c r="I180" s="2460"/>
      <c r="J180" s="2460"/>
      <c r="K180" s="2460"/>
      <c r="L180" s="2460"/>
      <c r="M180" s="2460"/>
      <c r="N180" s="2460"/>
      <c r="O180" s="2460"/>
      <c r="P180" s="2460"/>
      <c r="Q180" s="2460"/>
      <c r="R180" s="2460"/>
      <c r="S180" s="2460"/>
      <c r="T180" s="2460"/>
      <c r="U180" s="2460"/>
      <c r="V180" s="2460"/>
      <c r="W180" s="2460"/>
      <c r="X180" s="2460"/>
      <c r="Y180" s="2460"/>
      <c r="Z180" s="2460"/>
      <c r="AA180" s="2460"/>
      <c r="AB180" s="2460"/>
      <c r="AC180" s="2460"/>
      <c r="AD180" s="2460"/>
      <c r="AE180" s="2461"/>
      <c r="AF180" s="1206"/>
      <c r="AG180" s="1206"/>
      <c r="AH180" s="2214" t="s">
        <v>2604</v>
      </c>
      <c r="AI180" s="2215"/>
      <c r="AJ180" s="2215"/>
      <c r="AK180" s="2215"/>
      <c r="AL180" s="2215"/>
      <c r="AM180" s="2215"/>
      <c r="AN180" s="2215"/>
      <c r="AO180" s="2215"/>
      <c r="AP180" s="2215"/>
      <c r="AQ180" s="2215"/>
      <c r="AR180" s="2215"/>
      <c r="AS180" s="2215"/>
      <c r="AT180" s="2215"/>
      <c r="AU180" s="2215"/>
      <c r="AV180" s="2215"/>
      <c r="AW180" s="2215"/>
      <c r="AX180" s="2215"/>
      <c r="AY180" s="2215"/>
      <c r="AZ180" s="2215"/>
      <c r="BA180" s="2215"/>
      <c r="BB180" s="2215"/>
      <c r="BC180" s="2215"/>
      <c r="BD180" s="2215"/>
      <c r="BE180" s="2216"/>
    </row>
    <row r="181" spans="1:57" ht="15.75" customHeight="1" thickBot="1">
      <c r="A181" s="1206"/>
      <c r="B181" s="1206"/>
      <c r="C181" s="2462"/>
      <c r="D181" s="2463"/>
      <c r="E181" s="2463"/>
      <c r="F181" s="2463"/>
      <c r="G181" s="2463"/>
      <c r="H181" s="2463"/>
      <c r="I181" s="2463"/>
      <c r="J181" s="2463"/>
      <c r="K181" s="2463"/>
      <c r="L181" s="2463"/>
      <c r="M181" s="2463"/>
      <c r="N181" s="2463"/>
      <c r="O181" s="2463"/>
      <c r="P181" s="2463"/>
      <c r="Q181" s="2463"/>
      <c r="R181" s="2463"/>
      <c r="S181" s="2463"/>
      <c r="T181" s="2463"/>
      <c r="U181" s="2463"/>
      <c r="V181" s="2463"/>
      <c r="W181" s="2463"/>
      <c r="X181" s="2463"/>
      <c r="Y181" s="2463"/>
      <c r="Z181" s="2463"/>
      <c r="AA181" s="2463"/>
      <c r="AB181" s="2463"/>
      <c r="AC181" s="2463"/>
      <c r="AD181" s="2463"/>
      <c r="AE181" s="2464"/>
      <c r="AF181" s="1206"/>
      <c r="AG181" s="1206"/>
      <c r="AH181" s="2217" t="s">
        <v>2625</v>
      </c>
      <c r="AI181" s="2217"/>
      <c r="AJ181" s="2217"/>
      <c r="AK181" s="2217"/>
      <c r="AL181" s="2217"/>
      <c r="AM181" s="2217"/>
      <c r="AN181" s="2217"/>
      <c r="AO181" s="2217"/>
      <c r="AP181" s="2217"/>
      <c r="AQ181" s="2217"/>
      <c r="AR181" s="2217"/>
      <c r="AS181" s="2217"/>
      <c r="AT181" s="2217"/>
      <c r="AU181" s="2217"/>
      <c r="AV181" s="2217"/>
      <c r="AW181" s="2217"/>
      <c r="AX181" s="2217"/>
      <c r="AY181" s="2217"/>
      <c r="AZ181" s="2217"/>
      <c r="BA181" s="2217"/>
      <c r="BB181" s="2217"/>
      <c r="BC181" s="2217"/>
      <c r="BD181" s="2217"/>
      <c r="BE181" s="2217"/>
    </row>
    <row r="182" spans="1:57" ht="15.75" customHeight="1">
      <c r="A182" s="1206"/>
      <c r="B182" s="1206"/>
      <c r="C182" s="2465" t="s">
        <v>1839</v>
      </c>
      <c r="D182" s="2466"/>
      <c r="E182" s="2466"/>
      <c r="F182" s="2466"/>
      <c r="G182" s="2466"/>
      <c r="H182" s="2466"/>
      <c r="I182" s="2466"/>
      <c r="J182" s="2466"/>
      <c r="K182" s="2466"/>
      <c r="L182" s="2466"/>
      <c r="M182" s="2466"/>
      <c r="N182" s="2466" t="s">
        <v>1850</v>
      </c>
      <c r="O182" s="2466"/>
      <c r="P182" s="2466"/>
      <c r="Q182" s="2466"/>
      <c r="R182" s="2466"/>
      <c r="S182" s="2466"/>
      <c r="T182" s="2466"/>
      <c r="U182" s="2361" t="s">
        <v>1839</v>
      </c>
      <c r="V182" s="2361"/>
      <c r="W182" s="2361"/>
      <c r="X182" s="2361"/>
      <c r="Y182" s="2361"/>
      <c r="Z182" s="2361"/>
      <c r="AA182" s="2361"/>
      <c r="AB182" s="2361"/>
      <c r="AC182" s="2361"/>
      <c r="AD182" s="2361"/>
      <c r="AE182" s="2362"/>
      <c r="AF182" s="1206"/>
      <c r="AG182" s="1206"/>
      <c r="AH182" s="2218" t="s">
        <v>2609</v>
      </c>
      <c r="AI182" s="2218"/>
      <c r="AJ182" s="2218"/>
      <c r="AK182" s="2218"/>
      <c r="AL182" s="2218"/>
      <c r="AM182" s="2218"/>
      <c r="AN182" s="2218"/>
      <c r="AO182" s="2218"/>
      <c r="AP182" s="2218"/>
      <c r="AQ182" s="2218"/>
      <c r="AR182" s="2218"/>
      <c r="AS182" s="2218"/>
      <c r="AT182" s="2218"/>
      <c r="AU182" s="2184">
        <v>2500000</v>
      </c>
      <c r="AV182" s="2184"/>
      <c r="AW182" s="2184"/>
      <c r="AX182" s="2184"/>
      <c r="AY182" s="2184"/>
      <c r="AZ182" s="2184"/>
      <c r="BA182" s="2184"/>
      <c r="BB182" s="2184"/>
      <c r="BC182" s="2192"/>
      <c r="BD182" s="2193"/>
      <c r="BE182" s="2194"/>
    </row>
    <row r="183" spans="1:57" ht="15.75" customHeight="1">
      <c r="A183" s="1206"/>
      <c r="B183" s="1206"/>
      <c r="C183" s="2208" t="s">
        <v>2490</v>
      </c>
      <c r="D183" s="2209"/>
      <c r="E183" s="2209"/>
      <c r="F183" s="2209"/>
      <c r="G183" s="2209"/>
      <c r="H183" s="2209"/>
      <c r="I183" s="2209"/>
      <c r="J183" s="2209"/>
      <c r="K183" s="2209"/>
      <c r="L183" s="2209"/>
      <c r="M183" s="2209"/>
      <c r="N183" s="2471">
        <f>'Sources and Uses Budget'!B105</f>
        <v>90513569</v>
      </c>
      <c r="O183" s="2471"/>
      <c r="P183" s="2471"/>
      <c r="Q183" s="2471"/>
      <c r="R183" s="2471"/>
      <c r="S183" s="2471"/>
      <c r="T183" s="2471"/>
      <c r="U183" s="2472"/>
      <c r="V183" s="2472"/>
      <c r="W183" s="2472"/>
      <c r="X183" s="2472"/>
      <c r="Y183" s="2472"/>
      <c r="Z183" s="2472"/>
      <c r="AA183" s="2472"/>
      <c r="AB183" s="2472"/>
      <c r="AC183" s="2472"/>
      <c r="AD183" s="2472"/>
      <c r="AE183" s="2473"/>
      <c r="AF183" s="1206"/>
      <c r="AG183" s="1206"/>
      <c r="AH183" s="2218" t="s">
        <v>2608</v>
      </c>
      <c r="AI183" s="2218"/>
      <c r="AJ183" s="2218"/>
      <c r="AK183" s="2218"/>
      <c r="AL183" s="2218"/>
      <c r="AM183" s="2218"/>
      <c r="AN183" s="2218"/>
      <c r="AO183" s="2218"/>
      <c r="AP183" s="2218"/>
      <c r="AQ183" s="2218"/>
      <c r="AR183" s="2218"/>
      <c r="AS183" s="2218"/>
      <c r="AT183" s="2218"/>
      <c r="AU183" s="2185">
        <f>MAX(0,Application!AG439-100)*20000</f>
        <v>1540000</v>
      </c>
      <c r="AV183" s="2185"/>
      <c r="AW183" s="2185"/>
      <c r="AX183" s="2185"/>
      <c r="AY183" s="2185"/>
      <c r="AZ183" s="2185"/>
      <c r="BA183" s="2185"/>
      <c r="BB183" s="2185"/>
      <c r="BC183" s="2189"/>
      <c r="BD183" s="2190"/>
      <c r="BE183" s="2191"/>
    </row>
    <row r="184" spans="1:57" ht="15.75" customHeight="1">
      <c r="A184" s="1206"/>
      <c r="B184" s="1206"/>
      <c r="C184" s="2208" t="s">
        <v>2491</v>
      </c>
      <c r="D184" s="2209"/>
      <c r="E184" s="2209"/>
      <c r="F184" s="2209"/>
      <c r="G184" s="2209"/>
      <c r="H184" s="2209"/>
      <c r="I184" s="2209"/>
      <c r="J184" s="2209"/>
      <c r="K184" s="2209"/>
      <c r="L184" s="2209"/>
      <c r="M184" s="2209"/>
      <c r="N184" s="2471">
        <f>N183/J29</f>
        <v>511376.09604519774</v>
      </c>
      <c r="O184" s="2471"/>
      <c r="P184" s="2471"/>
      <c r="Q184" s="2471"/>
      <c r="R184" s="2471"/>
      <c r="S184" s="2471"/>
      <c r="T184" s="2471"/>
      <c r="U184" s="1222"/>
      <c r="V184" s="1222"/>
      <c r="W184" s="1222"/>
      <c r="X184" s="1222"/>
      <c r="Y184" s="1222"/>
      <c r="Z184" s="1222"/>
      <c r="AA184" s="1222"/>
      <c r="AB184" s="1222"/>
      <c r="AC184" s="1222"/>
      <c r="AD184" s="1222"/>
      <c r="AE184" s="1221"/>
      <c r="AF184" s="1206"/>
      <c r="AG184" s="1206"/>
      <c r="AH184" s="2195" t="s">
        <v>2607</v>
      </c>
      <c r="AI184" s="2195"/>
      <c r="AJ184" s="2195"/>
      <c r="AK184" s="2195"/>
      <c r="AL184" s="2195"/>
      <c r="AM184" s="2195"/>
      <c r="AN184" s="2195"/>
      <c r="AO184" s="2195"/>
      <c r="AP184" s="2195"/>
      <c r="AQ184" s="2195"/>
      <c r="AR184" s="2195"/>
      <c r="AS184" s="2195"/>
      <c r="AT184" s="2195"/>
      <c r="AU184" s="2186">
        <f>AU182+AU183</f>
        <v>4040000</v>
      </c>
      <c r="AV184" s="2186"/>
      <c r="AW184" s="2186"/>
      <c r="AX184" s="2186"/>
      <c r="AY184" s="2186"/>
      <c r="AZ184" s="2186"/>
      <c r="BA184" s="2186"/>
      <c r="BB184" s="2186"/>
      <c r="BC184" s="2189"/>
      <c r="BD184" s="2190"/>
      <c r="BE184" s="2191"/>
    </row>
    <row r="185" spans="1:57" ht="15.75" customHeight="1">
      <c r="A185" s="1206"/>
      <c r="B185" s="1206"/>
      <c r="C185" s="2474" t="s">
        <v>2492</v>
      </c>
      <c r="D185" s="2475"/>
      <c r="E185" s="2475"/>
      <c r="F185" s="2475"/>
      <c r="G185" s="2475"/>
      <c r="H185" s="2475"/>
      <c r="I185" s="2475"/>
      <c r="J185" s="2475"/>
      <c r="K185" s="2475"/>
      <c r="L185" s="2475"/>
      <c r="M185" s="2475"/>
      <c r="N185" s="2400">
        <v>0</v>
      </c>
      <c r="O185" s="2400"/>
      <c r="P185" s="2400"/>
      <c r="Q185" s="2400"/>
      <c r="R185" s="2400"/>
      <c r="S185" s="2400"/>
      <c r="T185" s="2400"/>
      <c r="U185" s="2378"/>
      <c r="V185" s="2378"/>
      <c r="W185" s="2378"/>
      <c r="X185" s="2378"/>
      <c r="Y185" s="2378"/>
      <c r="Z185" s="2378"/>
      <c r="AA185" s="2378"/>
      <c r="AB185" s="2378"/>
      <c r="AC185" s="2378"/>
      <c r="AD185" s="2378"/>
      <c r="AE185" s="2379"/>
      <c r="AF185" s="1206"/>
      <c r="AG185" s="1206"/>
      <c r="AH185" s="2188" t="s">
        <v>2606</v>
      </c>
      <c r="AI185" s="2188"/>
      <c r="AJ185" s="2188"/>
      <c r="AK185" s="2188"/>
      <c r="AL185" s="2188"/>
      <c r="AM185" s="2188"/>
      <c r="AN185" s="2188"/>
      <c r="AO185" s="2188"/>
      <c r="AP185" s="2188"/>
      <c r="AQ185" s="2188"/>
      <c r="AR185" s="2188"/>
      <c r="AS185" s="2188"/>
      <c r="AT185" s="2188"/>
      <c r="AU185" s="2187" t="str">
        <f>IF(AU189-AU192&lt;=AU184,"Y","N")</f>
        <v>Y</v>
      </c>
      <c r="AV185" s="2187"/>
      <c r="AW185" s="2187"/>
      <c r="AX185" s="2187"/>
      <c r="AY185" s="2187"/>
      <c r="AZ185" s="2187"/>
      <c r="BA185" s="2187"/>
      <c r="BB185" s="2187"/>
      <c r="BC185" s="2189"/>
      <c r="BD185" s="2190"/>
      <c r="BE185" s="2191"/>
    </row>
    <row r="186" spans="1:57" ht="15.75" customHeight="1" thickBot="1">
      <c r="A186" s="1206"/>
      <c r="B186" s="1206"/>
      <c r="C186" s="2208" t="s">
        <v>2493</v>
      </c>
      <c r="D186" s="2209"/>
      <c r="E186" s="2209"/>
      <c r="F186" s="2209"/>
      <c r="G186" s="2209"/>
      <c r="H186" s="2209"/>
      <c r="I186" s="2209"/>
      <c r="J186" s="2209"/>
      <c r="K186" s="2209"/>
      <c r="L186" s="2209"/>
      <c r="M186" s="2209"/>
      <c r="N186" s="2470">
        <f>SUM('Sources and Uses Budget'!B85:B86)</f>
        <v>2979525</v>
      </c>
      <c r="O186" s="2470"/>
      <c r="P186" s="2470"/>
      <c r="Q186" s="2470"/>
      <c r="R186" s="2470"/>
      <c r="S186" s="2470"/>
      <c r="T186" s="2470"/>
      <c r="U186" s="2378"/>
      <c r="V186" s="2378"/>
      <c r="W186" s="2378"/>
      <c r="X186" s="2378"/>
      <c r="Y186" s="2378"/>
      <c r="Z186" s="2378"/>
      <c r="AA186" s="2378"/>
      <c r="AB186" s="2378"/>
      <c r="AC186" s="2378"/>
      <c r="AD186" s="2378"/>
      <c r="AE186" s="237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8" t="s">
        <v>2494</v>
      </c>
      <c r="D187" s="2209"/>
      <c r="E187" s="2209"/>
      <c r="F187" s="2209"/>
      <c r="G187" s="2209"/>
      <c r="H187" s="2209"/>
      <c r="I187" s="2209"/>
      <c r="J187" s="2209"/>
      <c r="K187" s="2209"/>
      <c r="L187" s="2209"/>
      <c r="M187" s="2209"/>
      <c r="N187" s="2470">
        <f>'Sources and Uses Budget'!B8</f>
        <v>3050000</v>
      </c>
      <c r="O187" s="2470"/>
      <c r="P187" s="2470"/>
      <c r="Q187" s="2470"/>
      <c r="R187" s="2470"/>
      <c r="S187" s="2470"/>
      <c r="T187" s="2470"/>
      <c r="U187" s="2378"/>
      <c r="V187" s="2378"/>
      <c r="W187" s="2378"/>
      <c r="X187" s="2378"/>
      <c r="Y187" s="2378"/>
      <c r="Z187" s="2378"/>
      <c r="AA187" s="2378"/>
      <c r="AB187" s="2378"/>
      <c r="AC187" s="2378"/>
      <c r="AD187" s="2378"/>
      <c r="AE187" s="2379"/>
      <c r="AF187" s="1206"/>
      <c r="AG187" s="1206"/>
      <c r="AH187" s="2477" t="s">
        <v>1851</v>
      </c>
      <c r="AI187" s="2478"/>
      <c r="AJ187" s="2478"/>
      <c r="AK187" s="2478"/>
      <c r="AL187" s="2478"/>
      <c r="AM187" s="2478"/>
      <c r="AN187" s="2478"/>
      <c r="AO187" s="2478"/>
      <c r="AP187" s="2478"/>
      <c r="AQ187" s="2478"/>
      <c r="AR187" s="2478"/>
      <c r="AS187" s="2478"/>
      <c r="AT187" s="2478"/>
      <c r="AU187" s="2478"/>
      <c r="AV187" s="2478"/>
      <c r="AW187" s="2478"/>
      <c r="AX187" s="2478"/>
      <c r="AY187" s="2478"/>
      <c r="AZ187" s="2478"/>
      <c r="BA187" s="2478"/>
      <c r="BB187" s="2478"/>
      <c r="BC187" s="2478"/>
      <c r="BD187" s="2478"/>
      <c r="BE187" s="2479"/>
    </row>
    <row r="188" spans="1:57" ht="15.75" customHeight="1">
      <c r="A188" s="1206"/>
      <c r="B188" s="1206"/>
      <c r="C188" s="2208" t="s">
        <v>2495</v>
      </c>
      <c r="D188" s="2209"/>
      <c r="E188" s="2209"/>
      <c r="F188" s="2209"/>
      <c r="G188" s="2209"/>
      <c r="H188" s="2209"/>
      <c r="I188" s="2209"/>
      <c r="J188" s="2209"/>
      <c r="K188" s="2209"/>
      <c r="L188" s="2209"/>
      <c r="M188" s="2209"/>
      <c r="N188" s="2485">
        <v>0</v>
      </c>
      <c r="O188" s="2485"/>
      <c r="P188" s="2485"/>
      <c r="Q188" s="2485"/>
      <c r="R188" s="2485"/>
      <c r="S188" s="2485"/>
      <c r="T188" s="2485"/>
      <c r="U188" s="2378"/>
      <c r="V188" s="2378"/>
      <c r="W188" s="2378"/>
      <c r="X188" s="2378"/>
      <c r="Y188" s="2378"/>
      <c r="Z188" s="2378"/>
      <c r="AA188" s="2378"/>
      <c r="AB188" s="2378"/>
      <c r="AC188" s="2378"/>
      <c r="AD188" s="2378"/>
      <c r="AE188" s="2379"/>
      <c r="AF188" s="1206"/>
      <c r="AG188" s="1206"/>
      <c r="AH188" s="2480" t="s">
        <v>1851</v>
      </c>
      <c r="AI188" s="2480"/>
      <c r="AJ188" s="2480"/>
      <c r="AK188" s="2480"/>
      <c r="AL188" s="2480"/>
      <c r="AM188" s="2480"/>
      <c r="AN188" s="2480"/>
      <c r="AO188" s="2480"/>
      <c r="AP188" s="2480"/>
      <c r="AQ188" s="2480"/>
      <c r="AR188" s="2480"/>
      <c r="AS188" s="2480"/>
      <c r="AT188" s="2480"/>
      <c r="AU188" s="2481">
        <v>0</v>
      </c>
      <c r="AV188" s="2481"/>
      <c r="AW188" s="2481"/>
      <c r="AX188" s="2481"/>
      <c r="AY188" s="2481"/>
      <c r="AZ188" s="2481"/>
      <c r="BA188" s="2481"/>
      <c r="BB188" s="2481"/>
      <c r="BC188" s="2482"/>
      <c r="BD188" s="2483"/>
      <c r="BE188" s="2484"/>
    </row>
    <row r="189" spans="1:57" ht="15.75" customHeight="1">
      <c r="A189" s="1206"/>
      <c r="B189" s="1206"/>
      <c r="C189" s="2208" t="s">
        <v>2496</v>
      </c>
      <c r="D189" s="2209"/>
      <c r="E189" s="2209"/>
      <c r="F189" s="2209"/>
      <c r="G189" s="2209"/>
      <c r="H189" s="2209"/>
      <c r="I189" s="2209"/>
      <c r="J189" s="2209"/>
      <c r="K189" s="2209"/>
      <c r="L189" s="2209"/>
      <c r="M189" s="2209"/>
      <c r="N189" s="2485">
        <v>0</v>
      </c>
      <c r="O189" s="2485"/>
      <c r="P189" s="2485"/>
      <c r="Q189" s="2485"/>
      <c r="R189" s="2485"/>
      <c r="S189" s="2485"/>
      <c r="T189" s="2485"/>
      <c r="U189" s="2378"/>
      <c r="V189" s="2378"/>
      <c r="W189" s="2378"/>
      <c r="X189" s="2378"/>
      <c r="Y189" s="2378"/>
      <c r="Z189" s="2378"/>
      <c r="AA189" s="2378"/>
      <c r="AB189" s="2378"/>
      <c r="AC189" s="2378"/>
      <c r="AD189" s="2378"/>
      <c r="AE189" s="2379"/>
      <c r="AF189" s="1206"/>
      <c r="AG189" s="1206"/>
      <c r="AH189" s="2218" t="s">
        <v>2605</v>
      </c>
      <c r="AI189" s="2218"/>
      <c r="AJ189" s="2218"/>
      <c r="AK189" s="2218"/>
      <c r="AL189" s="2218"/>
      <c r="AM189" s="2218"/>
      <c r="AN189" s="2218"/>
      <c r="AO189" s="2218"/>
      <c r="AP189" s="2218"/>
      <c r="AQ189" s="2218"/>
      <c r="AR189" s="2218"/>
      <c r="AS189" s="2218"/>
      <c r="AT189" s="2218"/>
      <c r="AU189" s="2476"/>
      <c r="AV189" s="2476"/>
      <c r="AW189" s="2476"/>
      <c r="AX189" s="2476"/>
      <c r="AY189" s="2476"/>
      <c r="AZ189" s="2476"/>
      <c r="BA189" s="2476"/>
      <c r="BB189" s="2476"/>
      <c r="BC189" s="2189"/>
      <c r="BD189" s="2190"/>
      <c r="BE189" s="2191"/>
    </row>
    <row r="190" spans="1:57" ht="15.75" customHeight="1">
      <c r="A190" s="1206"/>
      <c r="B190" s="1206"/>
      <c r="C190" s="2511" t="s">
        <v>301</v>
      </c>
      <c r="D190" s="2442"/>
      <c r="E190" s="2510" t="s">
        <v>1845</v>
      </c>
      <c r="F190" s="2510"/>
      <c r="G190" s="2510"/>
      <c r="H190" s="2510"/>
      <c r="I190" s="2510"/>
      <c r="J190" s="2510"/>
      <c r="K190" s="2510"/>
      <c r="L190" s="2510"/>
      <c r="M190" s="2510"/>
      <c r="N190" s="2485">
        <v>0</v>
      </c>
      <c r="O190" s="2485"/>
      <c r="P190" s="2485"/>
      <c r="Q190" s="2485"/>
      <c r="R190" s="2485"/>
      <c r="S190" s="2485"/>
      <c r="T190" s="2485"/>
      <c r="U190" s="2378"/>
      <c r="V190" s="2378"/>
      <c r="W190" s="2378"/>
      <c r="X190" s="2378"/>
      <c r="Y190" s="2378"/>
      <c r="Z190" s="2378"/>
      <c r="AA190" s="2378"/>
      <c r="AB190" s="2378"/>
      <c r="AC190" s="2378"/>
      <c r="AD190" s="2378"/>
      <c r="AE190" s="2379"/>
      <c r="AF190" s="1206"/>
      <c r="AG190" s="1206"/>
      <c r="AH190" s="2195" t="s">
        <v>2604</v>
      </c>
      <c r="AI190" s="2195"/>
      <c r="AJ190" s="2195"/>
      <c r="AK190" s="2195"/>
      <c r="AL190" s="2195"/>
      <c r="AM190" s="2195"/>
      <c r="AN190" s="2195"/>
      <c r="AO190" s="2195"/>
      <c r="AP190" s="2195"/>
      <c r="AQ190" s="2195"/>
      <c r="AR190" s="2195"/>
      <c r="AS190" s="2195"/>
      <c r="AT190" s="2195"/>
      <c r="AU190" s="2186">
        <f>SUM(AU188:BB189)</f>
        <v>0</v>
      </c>
      <c r="AV190" s="2186"/>
      <c r="AW190" s="2186"/>
      <c r="AX190" s="2186"/>
      <c r="AY190" s="2186"/>
      <c r="AZ190" s="2186"/>
      <c r="BA190" s="2186"/>
      <c r="BB190" s="2186"/>
      <c r="BC190" s="2189"/>
      <c r="BD190" s="2190"/>
      <c r="BE190" s="2191"/>
    </row>
    <row r="191" spans="1:57" ht="15.75" customHeight="1" thickBot="1">
      <c r="A191" s="1206"/>
      <c r="B191" s="1206"/>
      <c r="C191" s="2399" t="s">
        <v>301</v>
      </c>
      <c r="D191" s="2369"/>
      <c r="E191" s="2510" t="s">
        <v>1845</v>
      </c>
      <c r="F191" s="2510"/>
      <c r="G191" s="2510"/>
      <c r="H191" s="2510"/>
      <c r="I191" s="2510"/>
      <c r="J191" s="2510"/>
      <c r="K191" s="2510"/>
      <c r="L191" s="2510"/>
      <c r="M191" s="2510"/>
      <c r="N191" s="2485">
        <v>0</v>
      </c>
      <c r="O191" s="2485"/>
      <c r="P191" s="2485"/>
      <c r="Q191" s="2485"/>
      <c r="R191" s="2485"/>
      <c r="S191" s="2485"/>
      <c r="T191" s="2485"/>
      <c r="U191" s="2378"/>
      <c r="V191" s="2378"/>
      <c r="W191" s="2378"/>
      <c r="X191" s="2378"/>
      <c r="Y191" s="2378"/>
      <c r="Z191" s="2378"/>
      <c r="AA191" s="2378"/>
      <c r="AB191" s="2378"/>
      <c r="AC191" s="2378"/>
      <c r="AD191" s="2378"/>
      <c r="AE191" s="237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2"/>
      <c r="BD191" s="2493"/>
      <c r="BE191" s="2494"/>
    </row>
    <row r="192" spans="1:57" ht="15.75" customHeight="1" thickBot="1">
      <c r="A192" s="1206"/>
      <c r="B192" s="1206"/>
      <c r="C192" s="2499" t="s">
        <v>301</v>
      </c>
      <c r="D192" s="2500"/>
      <c r="E192" s="2501" t="s">
        <v>1845</v>
      </c>
      <c r="F192" s="2501"/>
      <c r="G192" s="2501"/>
      <c r="H192" s="2501"/>
      <c r="I192" s="2501"/>
      <c r="J192" s="2501"/>
      <c r="K192" s="2501"/>
      <c r="L192" s="2501"/>
      <c r="M192" s="2502"/>
      <c r="N192" s="2503">
        <v>0</v>
      </c>
      <c r="O192" s="2503"/>
      <c r="P192" s="2503"/>
      <c r="Q192" s="2503"/>
      <c r="R192" s="2503"/>
      <c r="S192" s="2503"/>
      <c r="T192" s="2504"/>
      <c r="U192" s="2505"/>
      <c r="V192" s="2506"/>
      <c r="W192" s="2506"/>
      <c r="X192" s="2506"/>
      <c r="Y192" s="2506"/>
      <c r="Z192" s="2506"/>
      <c r="AA192" s="2506"/>
      <c r="AB192" s="2506"/>
      <c r="AC192" s="2506"/>
      <c r="AD192" s="2506"/>
      <c r="AE192" s="2507"/>
      <c r="AF192" s="1206"/>
      <c r="AG192" s="1206"/>
      <c r="AH192" s="2536" t="s">
        <v>1852</v>
      </c>
      <c r="AI192" s="2537"/>
      <c r="AJ192" s="2537"/>
      <c r="AK192" s="2537"/>
      <c r="AL192" s="2537"/>
      <c r="AM192" s="2537"/>
      <c r="AN192" s="2537"/>
      <c r="AO192" s="2537"/>
      <c r="AP192" s="2537"/>
      <c r="AQ192" s="2537"/>
      <c r="AR192" s="2537"/>
      <c r="AS192" s="2537"/>
      <c r="AT192" s="2537"/>
      <c r="AU192" s="2486"/>
      <c r="AV192" s="2486"/>
      <c r="AW192" s="2486"/>
      <c r="AX192" s="2486"/>
      <c r="AY192" s="2486"/>
      <c r="AZ192" s="2486"/>
      <c r="BA192" s="2486"/>
      <c r="BB192" s="2486"/>
      <c r="BC192" s="1219"/>
      <c r="BD192" s="1219"/>
      <c r="BE192" s="1218"/>
    </row>
    <row r="193" spans="1:57" ht="15.75" customHeight="1">
      <c r="A193" s="1206"/>
      <c r="B193" s="1206"/>
      <c r="C193" s="2495" t="s">
        <v>1853</v>
      </c>
      <c r="D193" s="2496"/>
      <c r="E193" s="2496"/>
      <c r="F193" s="2496"/>
      <c r="G193" s="2496"/>
      <c r="H193" s="2496"/>
      <c r="I193" s="2496"/>
      <c r="J193" s="2496"/>
      <c r="K193" s="2496"/>
      <c r="L193" s="2496"/>
      <c r="M193" s="2496"/>
      <c r="N193" s="2497">
        <f>SUM(N185:T192)</f>
        <v>6029525</v>
      </c>
      <c r="O193" s="2497"/>
      <c r="P193" s="2497"/>
      <c r="Q193" s="2497"/>
      <c r="R193" s="2497"/>
      <c r="S193" s="2497"/>
      <c r="T193" s="2498"/>
      <c r="U193" s="1206"/>
      <c r="V193" s="1206"/>
      <c r="W193" s="1206"/>
      <c r="X193" s="1206"/>
      <c r="Y193" s="1206"/>
      <c r="Z193" s="1206"/>
      <c r="AA193" s="1206"/>
      <c r="AB193" s="1206"/>
      <c r="AC193" s="1206"/>
      <c r="AD193" s="1206"/>
      <c r="AE193" s="1206"/>
      <c r="AF193" s="1206"/>
      <c r="AG193" s="1206"/>
      <c r="AH193" s="2508" t="s">
        <v>2603</v>
      </c>
      <c r="AI193" s="2508"/>
      <c r="AJ193" s="2508"/>
      <c r="AK193" s="2508"/>
      <c r="AL193" s="2508"/>
      <c r="AM193" s="2508"/>
      <c r="AN193" s="2508"/>
      <c r="AO193" s="2508"/>
      <c r="AP193" s="2508"/>
      <c r="AQ193" s="2508"/>
      <c r="AR193" s="2508"/>
      <c r="AS193" s="2508"/>
      <c r="AT193" s="2508"/>
      <c r="AU193" s="2508"/>
      <c r="AV193" s="2508"/>
      <c r="AW193" s="2508"/>
      <c r="AX193" s="2508"/>
      <c r="AY193" s="2508"/>
      <c r="AZ193" s="2508"/>
      <c r="BA193" s="2508"/>
      <c r="BB193" s="2508"/>
      <c r="BC193" s="2508"/>
      <c r="BD193" s="2508"/>
      <c r="BE193" s="2509"/>
    </row>
    <row r="194" spans="1:57" ht="15.75" customHeight="1" thickBot="1">
      <c r="A194" s="1206"/>
      <c r="B194" s="1206"/>
      <c r="C194" s="2538" t="s">
        <v>2497</v>
      </c>
      <c r="D194" s="2539"/>
      <c r="E194" s="2539"/>
      <c r="F194" s="2539"/>
      <c r="G194" s="2539"/>
      <c r="H194" s="2539"/>
      <c r="I194" s="2539"/>
      <c r="J194" s="2539"/>
      <c r="K194" s="2539"/>
      <c r="L194" s="2539"/>
      <c r="M194" s="2539"/>
      <c r="N194" s="2540">
        <f>(N183-N193)/J29</f>
        <v>477310.98305084748</v>
      </c>
      <c r="O194" s="2541"/>
      <c r="P194" s="2541"/>
      <c r="Q194" s="2541"/>
      <c r="R194" s="2541"/>
      <c r="S194" s="2541"/>
      <c r="T194" s="2542"/>
      <c r="U194" s="1217"/>
      <c r="V194" s="1206"/>
      <c r="W194" s="1206"/>
      <c r="X194" s="1206"/>
      <c r="Y194" s="1206"/>
      <c r="Z194" s="1206"/>
      <c r="AA194" s="1206"/>
      <c r="AB194" s="1206"/>
      <c r="AC194" s="1206"/>
      <c r="AD194" s="1206"/>
      <c r="AE194" s="1206"/>
      <c r="AF194" s="1206"/>
      <c r="AG194" s="1206"/>
      <c r="AH194" s="2508"/>
      <c r="AI194" s="2508"/>
      <c r="AJ194" s="2508"/>
      <c r="AK194" s="2508"/>
      <c r="AL194" s="2508"/>
      <c r="AM194" s="2508"/>
      <c r="AN194" s="2508"/>
      <c r="AO194" s="2508"/>
      <c r="AP194" s="2508"/>
      <c r="AQ194" s="2508"/>
      <c r="AR194" s="2508"/>
      <c r="AS194" s="2508"/>
      <c r="AT194" s="2508"/>
      <c r="AU194" s="2508"/>
      <c r="AV194" s="2508"/>
      <c r="AW194" s="2508"/>
      <c r="AX194" s="2508"/>
      <c r="AY194" s="2508"/>
      <c r="AZ194" s="2508"/>
      <c r="BA194" s="2508"/>
      <c r="BB194" s="2508"/>
      <c r="BC194" s="2508"/>
      <c r="BD194" s="2508"/>
      <c r="BE194" s="250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3"/>
      <c r="AI195" s="2543"/>
      <c r="AJ195" s="2543"/>
      <c r="AK195" s="2543"/>
      <c r="AL195" s="2543"/>
      <c r="AM195" s="2543"/>
      <c r="AN195" s="2543"/>
      <c r="AO195" s="2543"/>
      <c r="AP195" s="2543"/>
      <c r="AQ195" s="2543"/>
      <c r="AR195" s="2543"/>
      <c r="AS195" s="2487"/>
      <c r="AT195" s="2487"/>
      <c r="AU195" s="2487"/>
      <c r="AV195" s="2487"/>
      <c r="AW195" s="2487"/>
      <c r="AX195" s="2487"/>
      <c r="AY195" s="2487"/>
      <c r="AZ195" s="2487"/>
      <c r="BA195" s="2487"/>
      <c r="BB195" s="2487"/>
      <c r="BC195" s="2487"/>
      <c r="BD195" s="248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8" t="s">
        <v>2602</v>
      </c>
      <c r="D197" s="2489"/>
      <c r="E197" s="2489"/>
      <c r="F197" s="2489"/>
      <c r="G197" s="2489"/>
      <c r="H197" s="2489"/>
      <c r="I197" s="2489"/>
      <c r="J197" s="2489"/>
      <c r="K197" s="2489"/>
      <c r="L197" s="2489"/>
      <c r="M197" s="2489"/>
      <c r="N197" s="2489"/>
      <c r="O197" s="2489"/>
      <c r="P197" s="2489"/>
      <c r="Q197" s="2489"/>
      <c r="R197" s="2489"/>
      <c r="S197" s="2489"/>
      <c r="T197" s="2489"/>
      <c r="U197" s="2489"/>
      <c r="V197" s="2489"/>
      <c r="W197" s="2489"/>
      <c r="X197" s="2489"/>
      <c r="Y197" s="2489"/>
      <c r="Z197" s="2489"/>
      <c r="AA197" s="2489"/>
      <c r="AB197" s="2489"/>
      <c r="AC197" s="2489"/>
      <c r="AD197" s="2489"/>
      <c r="AE197" s="249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8" t="s">
        <v>2601</v>
      </c>
      <c r="D198" s="2198"/>
      <c r="E198" s="2198"/>
      <c r="F198" s="2198"/>
      <c r="G198" s="2198"/>
      <c r="H198" s="2198"/>
      <c r="I198" s="2198"/>
      <c r="J198" s="2198"/>
      <c r="K198" s="2198"/>
      <c r="L198" s="2198"/>
      <c r="M198" s="2198"/>
      <c r="N198" s="2198"/>
      <c r="O198" s="2199" t="s">
        <v>2600</v>
      </c>
      <c r="P198" s="2199"/>
      <c r="Q198" s="2199"/>
      <c r="R198" s="2199"/>
      <c r="S198" s="2199"/>
      <c r="T198" s="2199"/>
      <c r="U198" s="2199"/>
      <c r="V198" s="2199"/>
      <c r="W198" s="2199"/>
      <c r="X198" s="2199" t="s">
        <v>2599</v>
      </c>
      <c r="Y198" s="2199"/>
      <c r="Z198" s="2199"/>
      <c r="AA198" s="2199"/>
      <c r="AB198" s="2199"/>
      <c r="AC198" s="2199"/>
      <c r="AD198" s="2199"/>
      <c r="AE198" s="219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6" t="s">
        <v>2598</v>
      </c>
      <c r="D199" s="2196"/>
      <c r="E199" s="2196"/>
      <c r="F199" s="2196"/>
      <c r="G199" s="2196"/>
      <c r="H199" s="2196"/>
      <c r="I199" s="2196"/>
      <c r="J199" s="2196"/>
      <c r="K199" s="2196"/>
      <c r="L199" s="2196"/>
      <c r="M199" s="2196"/>
      <c r="N199" s="2196"/>
      <c r="O199" s="2491" t="s">
        <v>2597</v>
      </c>
      <c r="P199" s="2491"/>
      <c r="Q199" s="2491"/>
      <c r="R199" s="2491"/>
      <c r="S199" s="2491"/>
      <c r="T199" s="2491"/>
      <c r="U199" s="2491"/>
      <c r="V199" s="2491"/>
      <c r="W199" s="2491"/>
      <c r="X199" s="2512">
        <v>0.03</v>
      </c>
      <c r="Y199" s="2512"/>
      <c r="Z199" s="2512"/>
      <c r="AA199" s="2512"/>
      <c r="AB199" s="2512"/>
      <c r="AC199" s="2512"/>
      <c r="AD199" s="2512"/>
      <c r="AE199" s="251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6" t="s">
        <v>866</v>
      </c>
      <c r="D200" s="2196"/>
      <c r="E200" s="2196"/>
      <c r="F200" s="2196"/>
      <c r="G200" s="2196"/>
      <c r="H200" s="2196"/>
      <c r="I200" s="2196"/>
      <c r="J200" s="2196"/>
      <c r="K200" s="2196"/>
      <c r="L200" s="2196"/>
      <c r="M200" s="2196"/>
      <c r="N200" s="2196"/>
      <c r="O200" s="2491" t="s">
        <v>2597</v>
      </c>
      <c r="P200" s="2491"/>
      <c r="Q200" s="2491"/>
      <c r="R200" s="2491"/>
      <c r="S200" s="2491"/>
      <c r="T200" s="2491"/>
      <c r="U200" s="2491"/>
      <c r="V200" s="2491"/>
      <c r="W200" s="2491"/>
      <c r="X200" s="2512">
        <v>0.03</v>
      </c>
      <c r="Y200" s="2512"/>
      <c r="Z200" s="2512"/>
      <c r="AA200" s="2512"/>
      <c r="AB200" s="2512"/>
      <c r="AC200" s="2512"/>
      <c r="AD200" s="2512"/>
      <c r="AE200" s="251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6" t="s">
        <v>2596</v>
      </c>
      <c r="D201" s="2196"/>
      <c r="E201" s="2196"/>
      <c r="F201" s="2196"/>
      <c r="G201" s="2196"/>
      <c r="H201" s="2196"/>
      <c r="I201" s="2196"/>
      <c r="J201" s="2196"/>
      <c r="K201" s="2196"/>
      <c r="L201" s="2196"/>
      <c r="M201" s="2196"/>
      <c r="N201" s="2196"/>
      <c r="O201" s="2200">
        <f>SUM(O199:W200)</f>
        <v>0</v>
      </c>
      <c r="P201" s="2201"/>
      <c r="Q201" s="2201"/>
      <c r="R201" s="2201"/>
      <c r="S201" s="2201"/>
      <c r="T201" s="2201"/>
      <c r="U201" s="2201"/>
      <c r="V201" s="2201"/>
      <c r="W201" s="2201"/>
      <c r="X201" s="2201" t="s">
        <v>2595</v>
      </c>
      <c r="Y201" s="2201"/>
      <c r="Z201" s="2201"/>
      <c r="AA201" s="2201"/>
      <c r="AB201" s="2201"/>
      <c r="AC201" s="2201"/>
      <c r="AD201" s="2201"/>
      <c r="AE201" s="220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7" t="s">
        <v>2594</v>
      </c>
      <c r="D202" s="2197"/>
      <c r="E202" s="2197"/>
      <c r="F202" s="2197"/>
      <c r="G202" s="2197"/>
      <c r="H202" s="2197"/>
      <c r="I202" s="2197"/>
      <c r="J202" s="2197"/>
      <c r="K202" s="2197"/>
      <c r="L202" s="2197"/>
      <c r="M202" s="2197"/>
      <c r="N202" s="2197"/>
      <c r="O202" s="2197"/>
      <c r="P202" s="2197"/>
      <c r="Q202" s="2197"/>
      <c r="R202" s="2197"/>
      <c r="S202" s="2197"/>
      <c r="T202" s="2197"/>
      <c r="U202" s="2197"/>
      <c r="V202" s="2197"/>
      <c r="W202" s="2197"/>
      <c r="X202" s="2197"/>
      <c r="Y202" s="2197"/>
      <c r="Z202" s="2197"/>
      <c r="AA202" s="2197"/>
      <c r="AB202" s="2197"/>
      <c r="AC202" s="2197"/>
      <c r="AD202" s="2197"/>
      <c r="AE202" s="219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3" t="s">
        <v>2593</v>
      </c>
      <c r="D204" s="2514"/>
      <c r="E204" s="2514"/>
      <c r="F204" s="2514"/>
      <c r="G204" s="2514"/>
      <c r="H204" s="2514"/>
      <c r="I204" s="2514"/>
      <c r="J204" s="2514"/>
      <c r="K204" s="2514"/>
      <c r="L204" s="2514"/>
      <c r="M204" s="2514"/>
      <c r="N204" s="2514"/>
      <c r="O204" s="2514"/>
      <c r="P204" s="2514"/>
      <c r="Q204" s="2514"/>
      <c r="R204" s="2514"/>
      <c r="S204" s="2514"/>
      <c r="T204" s="2514"/>
      <c r="U204" s="2514"/>
      <c r="V204" s="2514"/>
      <c r="W204" s="2514"/>
      <c r="X204" s="2514"/>
      <c r="Y204" s="2514"/>
      <c r="Z204" s="2514"/>
      <c r="AA204" s="2514"/>
      <c r="AB204" s="2514"/>
      <c r="AC204" s="2514"/>
      <c r="AD204" s="2514"/>
      <c r="AE204" s="2514"/>
      <c r="AF204" s="2514"/>
      <c r="AG204" s="2514"/>
      <c r="AH204" s="2514"/>
      <c r="AI204" s="2514"/>
      <c r="AJ204" s="2514"/>
      <c r="AK204" s="251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6" t="s">
        <v>2592</v>
      </c>
      <c r="D205" s="2517"/>
      <c r="E205" s="2517"/>
      <c r="F205" s="2518"/>
      <c r="G205" s="2522" t="s">
        <v>2591</v>
      </c>
      <c r="H205" s="2517"/>
      <c r="I205" s="2517"/>
      <c r="J205" s="2517"/>
      <c r="K205" s="2517"/>
      <c r="L205" s="2517"/>
      <c r="M205" s="2517"/>
      <c r="N205" s="2517"/>
      <c r="O205" s="2518"/>
      <c r="P205" s="2524" t="s">
        <v>2590</v>
      </c>
      <c r="Q205" s="2525"/>
      <c r="R205" s="2525"/>
      <c r="S205" s="2525"/>
      <c r="T205" s="2526"/>
      <c r="U205" s="2530" t="s">
        <v>2589</v>
      </c>
      <c r="V205" s="2531"/>
      <c r="W205" s="2531"/>
      <c r="X205" s="2532"/>
      <c r="Y205" s="2530" t="s">
        <v>2588</v>
      </c>
      <c r="Z205" s="2531"/>
      <c r="AA205" s="2531"/>
      <c r="AB205" s="2532"/>
      <c r="AC205" s="2530" t="s">
        <v>2587</v>
      </c>
      <c r="AD205" s="2531"/>
      <c r="AE205" s="2531"/>
      <c r="AF205" s="2532"/>
      <c r="AG205" s="2522" t="s">
        <v>2586</v>
      </c>
      <c r="AH205" s="2517"/>
      <c r="AI205" s="2517"/>
      <c r="AJ205" s="2517"/>
      <c r="AK205" s="258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9"/>
      <c r="D206" s="2520"/>
      <c r="E206" s="2520"/>
      <c r="F206" s="2521"/>
      <c r="G206" s="2523"/>
      <c r="H206" s="2520"/>
      <c r="I206" s="2520"/>
      <c r="J206" s="2520"/>
      <c r="K206" s="2520"/>
      <c r="L206" s="2520"/>
      <c r="M206" s="2520"/>
      <c r="N206" s="2520"/>
      <c r="O206" s="2521"/>
      <c r="P206" s="2527"/>
      <c r="Q206" s="2528"/>
      <c r="R206" s="2528"/>
      <c r="S206" s="2528"/>
      <c r="T206" s="2529"/>
      <c r="U206" s="2533"/>
      <c r="V206" s="2534"/>
      <c r="W206" s="2534"/>
      <c r="X206" s="2535"/>
      <c r="Y206" s="2533"/>
      <c r="Z206" s="2534"/>
      <c r="AA206" s="2534"/>
      <c r="AB206" s="2535"/>
      <c r="AC206" s="2533"/>
      <c r="AD206" s="2534"/>
      <c r="AE206" s="2534"/>
      <c r="AF206" s="2535"/>
      <c r="AG206" s="2523"/>
      <c r="AH206" s="2520"/>
      <c r="AI206" s="2520"/>
      <c r="AJ206" s="2520"/>
      <c r="AK206" s="258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5">
        <v>1</v>
      </c>
      <c r="D207" s="2176"/>
      <c r="E207" s="2176"/>
      <c r="F207" s="2176"/>
      <c r="G207" s="2177" t="s">
        <v>2154</v>
      </c>
      <c r="H207" s="2177"/>
      <c r="I207" s="2177"/>
      <c r="J207" s="2177"/>
      <c r="K207" s="2177"/>
      <c r="L207" s="2177"/>
      <c r="M207" s="2177"/>
      <c r="N207" s="2177"/>
      <c r="O207" s="2177"/>
      <c r="P207" s="2178"/>
      <c r="Q207" s="2582"/>
      <c r="R207" s="2582"/>
      <c r="S207" s="2582"/>
      <c r="T207" s="2582"/>
      <c r="U207" s="2179" t="s">
        <v>2154</v>
      </c>
      <c r="V207" s="2179"/>
      <c r="W207" s="2179"/>
      <c r="X207" s="2179"/>
      <c r="Y207" s="2179" t="s">
        <v>2154</v>
      </c>
      <c r="Z207" s="2179"/>
      <c r="AA207" s="2179"/>
      <c r="AB207" s="2179"/>
      <c r="AC207" s="2180" t="s">
        <v>2154</v>
      </c>
      <c r="AD207" s="2180"/>
      <c r="AE207" s="2180"/>
      <c r="AF207" s="2180"/>
      <c r="AG207" s="2574"/>
      <c r="AH207" s="2575"/>
      <c r="AI207" s="2575"/>
      <c r="AJ207" s="2575"/>
      <c r="AK207" s="257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5">
        <v>2</v>
      </c>
      <c r="D208" s="2176"/>
      <c r="E208" s="2176"/>
      <c r="F208" s="2176"/>
      <c r="G208" s="2177" t="s">
        <v>2154</v>
      </c>
      <c r="H208" s="2177"/>
      <c r="I208" s="2177"/>
      <c r="J208" s="2177"/>
      <c r="K208" s="2177"/>
      <c r="L208" s="2177"/>
      <c r="M208" s="2177"/>
      <c r="N208" s="2177"/>
      <c r="O208" s="2177"/>
      <c r="P208" s="2178"/>
      <c r="Q208" s="2178"/>
      <c r="R208" s="2178"/>
      <c r="S208" s="2178"/>
      <c r="T208" s="2178"/>
      <c r="U208" s="2179" t="s">
        <v>2154</v>
      </c>
      <c r="V208" s="2179"/>
      <c r="W208" s="2179"/>
      <c r="X208" s="2179"/>
      <c r="Y208" s="2179" t="s">
        <v>2154</v>
      </c>
      <c r="Z208" s="2179"/>
      <c r="AA208" s="2179"/>
      <c r="AB208" s="2179"/>
      <c r="AC208" s="2180" t="s">
        <v>2154</v>
      </c>
      <c r="AD208" s="2180"/>
      <c r="AE208" s="2180"/>
      <c r="AF208" s="2180"/>
      <c r="AG208" s="2574"/>
      <c r="AH208" s="2575"/>
      <c r="AI208" s="2575"/>
      <c r="AJ208" s="2575"/>
      <c r="AK208" s="257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5">
        <v>3</v>
      </c>
      <c r="D209" s="2176"/>
      <c r="E209" s="2176"/>
      <c r="F209" s="2176"/>
      <c r="G209" s="2177" t="s">
        <v>2154</v>
      </c>
      <c r="H209" s="2177"/>
      <c r="I209" s="2177"/>
      <c r="J209" s="2177"/>
      <c r="K209" s="2177"/>
      <c r="L209" s="2177"/>
      <c r="M209" s="2177"/>
      <c r="N209" s="2177"/>
      <c r="O209" s="2177"/>
      <c r="P209" s="2178"/>
      <c r="Q209" s="2178"/>
      <c r="R209" s="2178"/>
      <c r="S209" s="2178"/>
      <c r="T209" s="2178"/>
      <c r="U209" s="2179" t="s">
        <v>2154</v>
      </c>
      <c r="V209" s="2179"/>
      <c r="W209" s="2179"/>
      <c r="X209" s="2179"/>
      <c r="Y209" s="2179" t="s">
        <v>2154</v>
      </c>
      <c r="Z209" s="2179"/>
      <c r="AA209" s="2179"/>
      <c r="AB209" s="2179"/>
      <c r="AC209" s="2180" t="s">
        <v>2154</v>
      </c>
      <c r="AD209" s="2180"/>
      <c r="AE209" s="2180"/>
      <c r="AF209" s="2180"/>
      <c r="AG209" s="2574"/>
      <c r="AH209" s="2575"/>
      <c r="AI209" s="2575"/>
      <c r="AJ209" s="2575"/>
      <c r="AK209" s="257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5">
        <v>4</v>
      </c>
      <c r="D210" s="2176"/>
      <c r="E210" s="2176"/>
      <c r="F210" s="2176"/>
      <c r="G210" s="2177" t="s">
        <v>2154</v>
      </c>
      <c r="H210" s="2177"/>
      <c r="I210" s="2177"/>
      <c r="J210" s="2177"/>
      <c r="K210" s="2177"/>
      <c r="L210" s="2177"/>
      <c r="M210" s="2177"/>
      <c r="N210" s="2177"/>
      <c r="O210" s="2177"/>
      <c r="P210" s="2178"/>
      <c r="Q210" s="2178"/>
      <c r="R210" s="2178"/>
      <c r="S210" s="2178"/>
      <c r="T210" s="2178"/>
      <c r="U210" s="2179" t="s">
        <v>2154</v>
      </c>
      <c r="V210" s="2179"/>
      <c r="W210" s="2179"/>
      <c r="X210" s="2179"/>
      <c r="Y210" s="2179" t="s">
        <v>2154</v>
      </c>
      <c r="Z210" s="2179"/>
      <c r="AA210" s="2179"/>
      <c r="AB210" s="2179"/>
      <c r="AC210" s="2180" t="s">
        <v>2154</v>
      </c>
      <c r="AD210" s="2180"/>
      <c r="AE210" s="2180"/>
      <c r="AF210" s="2180"/>
      <c r="AG210" s="2574"/>
      <c r="AH210" s="2575"/>
      <c r="AI210" s="2575"/>
      <c r="AJ210" s="2575"/>
      <c r="AK210" s="257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5">
        <v>5</v>
      </c>
      <c r="D211" s="2176"/>
      <c r="E211" s="2176"/>
      <c r="F211" s="2176"/>
      <c r="G211" s="2177"/>
      <c r="H211" s="2177"/>
      <c r="I211" s="2177"/>
      <c r="J211" s="2177"/>
      <c r="K211" s="2177"/>
      <c r="L211" s="2177"/>
      <c r="M211" s="2177"/>
      <c r="N211" s="2177"/>
      <c r="O211" s="2177"/>
      <c r="P211" s="2178"/>
      <c r="Q211" s="2178"/>
      <c r="R211" s="2178"/>
      <c r="S211" s="2178"/>
      <c r="T211" s="2178"/>
      <c r="U211" s="2179" t="s">
        <v>2154</v>
      </c>
      <c r="V211" s="2179"/>
      <c r="W211" s="2179"/>
      <c r="X211" s="2179"/>
      <c r="Y211" s="2179" t="s">
        <v>2154</v>
      </c>
      <c r="Z211" s="2179"/>
      <c r="AA211" s="2179"/>
      <c r="AB211" s="2179"/>
      <c r="AC211" s="2180" t="s">
        <v>2154</v>
      </c>
      <c r="AD211" s="2180"/>
      <c r="AE211" s="2180"/>
      <c r="AF211" s="2180"/>
      <c r="AG211" s="2574"/>
      <c r="AH211" s="2575"/>
      <c r="AI211" s="2575"/>
      <c r="AJ211" s="2575"/>
      <c r="AK211" s="257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5">
        <v>6</v>
      </c>
      <c r="D212" s="2176"/>
      <c r="E212" s="2176"/>
      <c r="F212" s="2176"/>
      <c r="G212" s="2177" t="s">
        <v>2154</v>
      </c>
      <c r="H212" s="2177"/>
      <c r="I212" s="2177"/>
      <c r="J212" s="2177"/>
      <c r="K212" s="2177"/>
      <c r="L212" s="2177"/>
      <c r="M212" s="2177"/>
      <c r="N212" s="2177"/>
      <c r="O212" s="2177"/>
      <c r="P212" s="2178"/>
      <c r="Q212" s="2178"/>
      <c r="R212" s="2178"/>
      <c r="S212" s="2178"/>
      <c r="T212" s="2178"/>
      <c r="U212" s="2179"/>
      <c r="V212" s="2179"/>
      <c r="W212" s="2179"/>
      <c r="X212" s="2179"/>
      <c r="Y212" s="2179"/>
      <c r="Z212" s="2179"/>
      <c r="AA212" s="2179"/>
      <c r="AB212" s="2179"/>
      <c r="AC212" s="2180" t="s">
        <v>2154</v>
      </c>
      <c r="AD212" s="2180"/>
      <c r="AE212" s="2180"/>
      <c r="AF212" s="2180"/>
      <c r="AG212" s="2574"/>
      <c r="AH212" s="2575"/>
      <c r="AI212" s="2575"/>
      <c r="AJ212" s="2575"/>
      <c r="AK212" s="257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5">
        <v>7</v>
      </c>
      <c r="D213" s="2176"/>
      <c r="E213" s="2176"/>
      <c r="F213" s="2176"/>
      <c r="G213" s="2181"/>
      <c r="H213" s="2182"/>
      <c r="I213" s="2182"/>
      <c r="J213" s="2182"/>
      <c r="K213" s="2182"/>
      <c r="L213" s="2182"/>
      <c r="M213" s="2182"/>
      <c r="N213" s="2182"/>
      <c r="O213" s="2183"/>
      <c r="P213" s="2178"/>
      <c r="Q213" s="2178"/>
      <c r="R213" s="2178"/>
      <c r="S213" s="2178"/>
      <c r="T213" s="2178"/>
      <c r="U213" s="2179"/>
      <c r="V213" s="2179"/>
      <c r="W213" s="2179"/>
      <c r="X213" s="2179"/>
      <c r="Y213" s="2179"/>
      <c r="Z213" s="2179"/>
      <c r="AA213" s="2179"/>
      <c r="AB213" s="2179"/>
      <c r="AC213" s="2180" t="s">
        <v>2154</v>
      </c>
      <c r="AD213" s="2180"/>
      <c r="AE213" s="2180"/>
      <c r="AF213" s="2180"/>
      <c r="AG213" s="2574"/>
      <c r="AH213" s="2575"/>
      <c r="AI213" s="2575"/>
      <c r="AJ213" s="2575"/>
      <c r="AK213" s="257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0" t="s">
        <v>2585</v>
      </c>
      <c r="D214" s="2171"/>
      <c r="E214" s="2171"/>
      <c r="F214" s="2171"/>
      <c r="G214" s="2171"/>
      <c r="H214" s="2171"/>
      <c r="I214" s="2171"/>
      <c r="J214" s="2171"/>
      <c r="K214" s="2171"/>
      <c r="L214" s="2171"/>
      <c r="M214" s="2171"/>
      <c r="N214" s="2171"/>
      <c r="O214" s="2171"/>
      <c r="P214" s="2172"/>
      <c r="Q214" s="2172"/>
      <c r="R214" s="2172"/>
      <c r="S214" s="2172"/>
      <c r="T214" s="2172"/>
      <c r="U214" s="2173">
        <v>0</v>
      </c>
      <c r="V214" s="2173"/>
      <c r="W214" s="2173"/>
      <c r="X214" s="2173"/>
      <c r="Y214" s="2173">
        <v>0</v>
      </c>
      <c r="Z214" s="2173"/>
      <c r="AA214" s="2173"/>
      <c r="AB214" s="2173"/>
      <c r="AC214" s="2174">
        <v>0</v>
      </c>
      <c r="AD214" s="2174"/>
      <c r="AE214" s="2174"/>
      <c r="AF214" s="2174"/>
      <c r="AG214" s="2577"/>
      <c r="AH214" s="2578"/>
      <c r="AI214" s="2578"/>
      <c r="AJ214" s="2578"/>
      <c r="AK214" s="257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2584</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0" t="s">
        <v>1854</v>
      </c>
      <c r="C219" s="2551"/>
      <c r="D219" s="2551"/>
      <c r="E219" s="2551"/>
      <c r="F219" s="2551"/>
      <c r="G219" s="2551"/>
      <c r="H219" s="2551"/>
      <c r="I219" s="2551"/>
      <c r="J219" s="2551"/>
      <c r="K219" s="2551"/>
      <c r="L219" s="2551"/>
      <c r="M219" s="2551"/>
      <c r="N219" s="2551"/>
      <c r="O219" s="2551"/>
      <c r="P219" s="2551"/>
      <c r="Q219" s="2551"/>
      <c r="R219" s="2551"/>
      <c r="S219" s="2551"/>
      <c r="T219" s="2551"/>
      <c r="U219" s="2551"/>
      <c r="V219" s="2551"/>
      <c r="W219" s="2551"/>
      <c r="X219" s="2551"/>
      <c r="Y219" s="2551"/>
      <c r="Z219" s="2551"/>
      <c r="AA219" s="2551"/>
      <c r="AB219" s="2551"/>
      <c r="AC219" s="2551"/>
      <c r="AD219" s="2551"/>
      <c r="AE219" s="2551"/>
      <c r="AF219" s="2551"/>
      <c r="AG219" s="2551"/>
      <c r="AH219" s="2551"/>
      <c r="AI219" s="2551"/>
      <c r="AJ219" s="2551"/>
      <c r="AK219" s="2551"/>
      <c r="AL219" s="2551"/>
      <c r="AM219" s="2551"/>
      <c r="AN219" s="2551"/>
      <c r="AO219" s="2551"/>
      <c r="AP219" s="2551"/>
      <c r="AQ219" s="2551"/>
      <c r="AR219" s="2551"/>
      <c r="AS219" s="2551"/>
      <c r="AT219" s="2551"/>
      <c r="AU219" s="2551"/>
      <c r="AV219" s="2551"/>
      <c r="AW219" s="2551"/>
      <c r="AX219" s="2551"/>
      <c r="AY219" s="2551"/>
      <c r="AZ219" s="2551"/>
      <c r="BA219" s="2551"/>
      <c r="BB219" s="2551"/>
      <c r="BC219" s="2551"/>
      <c r="BD219" s="2552"/>
      <c r="BE219" s="1202"/>
    </row>
    <row r="220" spans="1:57" ht="15.75" customHeight="1">
      <c r="A220" s="1206"/>
      <c r="B220" s="2553"/>
      <c r="C220" s="2554"/>
      <c r="D220" s="2554"/>
      <c r="E220" s="2554"/>
      <c r="F220" s="2554"/>
      <c r="G220" s="2554"/>
      <c r="H220" s="2554"/>
      <c r="I220" s="2554"/>
      <c r="J220" s="2554"/>
      <c r="K220" s="2554"/>
      <c r="L220" s="2554"/>
      <c r="M220" s="2554"/>
      <c r="N220" s="2554"/>
      <c r="O220" s="2554"/>
      <c r="P220" s="2554"/>
      <c r="Q220" s="2554"/>
      <c r="R220" s="2554"/>
      <c r="S220" s="2554"/>
      <c r="T220" s="2554"/>
      <c r="U220" s="2554"/>
      <c r="V220" s="2554"/>
      <c r="W220" s="2554"/>
      <c r="X220" s="2554"/>
      <c r="Y220" s="2554"/>
      <c r="Z220" s="2554"/>
      <c r="AA220" s="2554"/>
      <c r="AB220" s="2554"/>
      <c r="AC220" s="2554"/>
      <c r="AD220" s="2554"/>
      <c r="AE220" s="2554"/>
      <c r="AF220" s="2554"/>
      <c r="AG220" s="2554"/>
      <c r="AH220" s="2554"/>
      <c r="AI220" s="2554"/>
      <c r="AJ220" s="2554"/>
      <c r="AK220" s="2554"/>
      <c r="AL220" s="2554"/>
      <c r="AM220" s="2554"/>
      <c r="AN220" s="2554"/>
      <c r="AO220" s="2554"/>
      <c r="AP220" s="2554"/>
      <c r="AQ220" s="2554"/>
      <c r="AR220" s="2554"/>
      <c r="AS220" s="2554"/>
      <c r="AT220" s="2554"/>
      <c r="AU220" s="2554"/>
      <c r="AV220" s="2554"/>
      <c r="AW220" s="2554"/>
      <c r="AX220" s="2554"/>
      <c r="AY220" s="2554"/>
      <c r="AZ220" s="2554"/>
      <c r="BA220" s="2554"/>
      <c r="BB220" s="2554"/>
      <c r="BC220" s="2554"/>
      <c r="BD220" s="2555"/>
      <c r="BE220" s="1202"/>
    </row>
    <row r="221" spans="1:57" ht="15.75" customHeight="1">
      <c r="A221" s="1206"/>
      <c r="B221" s="2556" t="s">
        <v>1855</v>
      </c>
      <c r="C221" s="2557"/>
      <c r="D221" s="2557"/>
      <c r="E221" s="2557"/>
      <c r="F221" s="2557"/>
      <c r="G221" s="2557"/>
      <c r="H221" s="2557"/>
      <c r="I221" s="2557"/>
      <c r="J221" s="2557"/>
      <c r="K221" s="2557"/>
      <c r="L221" s="2557"/>
      <c r="M221" s="2557"/>
      <c r="N221" s="2557"/>
      <c r="O221" s="2557"/>
      <c r="P221" s="2557"/>
      <c r="Q221" s="2557"/>
      <c r="R221" s="2557"/>
      <c r="S221" s="2557"/>
      <c r="T221" s="2557"/>
      <c r="U221" s="2557"/>
      <c r="V221" s="2557"/>
      <c r="W221" s="2557"/>
      <c r="X221" s="2557"/>
      <c r="Y221" s="2557"/>
      <c r="Z221" s="2557"/>
      <c r="AA221" s="2557"/>
      <c r="AB221" s="2557"/>
      <c r="AC221" s="2557"/>
      <c r="AD221" s="2557"/>
      <c r="AE221" s="2557"/>
      <c r="AF221" s="2557"/>
      <c r="AG221" s="2557"/>
      <c r="AH221" s="2557"/>
      <c r="AI221" s="2557"/>
      <c r="AJ221" s="2557"/>
      <c r="AK221" s="2557"/>
      <c r="AL221" s="2557"/>
      <c r="AM221" s="2557"/>
      <c r="AN221" s="2557"/>
      <c r="AO221" s="2557"/>
      <c r="AP221" s="2557"/>
      <c r="AQ221" s="2557"/>
      <c r="AR221" s="2557"/>
      <c r="AS221" s="2557"/>
      <c r="AT221" s="2557"/>
      <c r="AU221" s="2557"/>
      <c r="AV221" s="2557"/>
      <c r="AW221" s="2557"/>
      <c r="AX221" s="2557"/>
      <c r="AY221" s="2557"/>
      <c r="AZ221" s="2557"/>
      <c r="BA221" s="2557"/>
      <c r="BB221" s="2557"/>
      <c r="BC221" s="2557"/>
      <c r="BD221" s="2558"/>
      <c r="BE221" s="1202"/>
    </row>
    <row r="222" spans="1:57" ht="15.75" customHeight="1">
      <c r="A222" s="1206"/>
      <c r="B222" s="2556" t="s">
        <v>1856</v>
      </c>
      <c r="C222" s="2557"/>
      <c r="D222" s="2557"/>
      <c r="E222" s="2557"/>
      <c r="F222" s="2557"/>
      <c r="G222" s="2557"/>
      <c r="H222" s="2557"/>
      <c r="I222" s="2557"/>
      <c r="J222" s="2557"/>
      <c r="K222" s="2557"/>
      <c r="L222" s="2557"/>
      <c r="M222" s="2557"/>
      <c r="N222" s="2557"/>
      <c r="O222" s="2557"/>
      <c r="P222" s="2557"/>
      <c r="Q222" s="2557"/>
      <c r="R222" s="2557"/>
      <c r="S222" s="2557"/>
      <c r="T222" s="2557"/>
      <c r="U222" s="2557"/>
      <c r="V222" s="2557"/>
      <c r="W222" s="2557"/>
      <c r="X222" s="2557"/>
      <c r="Y222" s="2557"/>
      <c r="Z222" s="2557"/>
      <c r="AA222" s="2557"/>
      <c r="AB222" s="2557"/>
      <c r="AC222" s="2557"/>
      <c r="AD222" s="2557"/>
      <c r="AE222" s="2557"/>
      <c r="AF222" s="2557"/>
      <c r="AG222" s="2557"/>
      <c r="AH222" s="2557"/>
      <c r="AI222" s="2557"/>
      <c r="AJ222" s="2557"/>
      <c r="AK222" s="2557"/>
      <c r="AL222" s="2557"/>
      <c r="AM222" s="2557"/>
      <c r="AN222" s="2557"/>
      <c r="AO222" s="2557"/>
      <c r="AP222" s="2557"/>
      <c r="AQ222" s="2557"/>
      <c r="AR222" s="2557"/>
      <c r="AS222" s="2557"/>
      <c r="AT222" s="2557"/>
      <c r="AU222" s="2557"/>
      <c r="AV222" s="2557"/>
      <c r="AW222" s="2557"/>
      <c r="AX222" s="2557"/>
      <c r="AY222" s="2557"/>
      <c r="AZ222" s="2557"/>
      <c r="BA222" s="2557"/>
      <c r="BB222" s="2557"/>
      <c r="BC222" s="2557"/>
      <c r="BD222" s="255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9" t="s">
        <v>1857</v>
      </c>
      <c r="C224" s="2560"/>
      <c r="D224" s="2560"/>
      <c r="E224" s="2560"/>
      <c r="F224" s="2560"/>
      <c r="G224" s="2560"/>
      <c r="H224" s="2560"/>
      <c r="I224" s="2560"/>
      <c r="J224" s="2560"/>
      <c r="K224" s="2560"/>
      <c r="L224" s="2560"/>
      <c r="M224" s="2560"/>
      <c r="N224" s="2560"/>
      <c r="O224" s="2560"/>
      <c r="P224" s="2560"/>
      <c r="Q224" s="2560"/>
      <c r="R224" s="2560"/>
      <c r="S224" s="2560"/>
      <c r="T224" s="2560"/>
      <c r="U224" s="2560"/>
      <c r="V224" s="2560"/>
      <c r="W224" s="2560"/>
      <c r="X224" s="2560"/>
      <c r="Y224" s="2560"/>
      <c r="Z224" s="2560"/>
      <c r="AA224" s="2560"/>
      <c r="AB224" s="2560"/>
      <c r="AC224" s="2560"/>
      <c r="AD224" s="2560"/>
      <c r="AE224" s="2560"/>
      <c r="AF224" s="2560"/>
      <c r="AG224" s="2560"/>
      <c r="AH224" s="2560"/>
      <c r="AI224" s="2560"/>
      <c r="AJ224" s="2560"/>
      <c r="AK224" s="2560"/>
      <c r="AL224" s="2560"/>
      <c r="AM224" s="2560"/>
      <c r="AN224" s="2560"/>
      <c r="AO224" s="2560"/>
      <c r="AP224" s="2560"/>
      <c r="AQ224" s="2560"/>
      <c r="AR224" s="2560"/>
      <c r="AS224" s="2560"/>
      <c r="AT224" s="2560"/>
      <c r="AU224" s="2560"/>
      <c r="AV224" s="2560"/>
      <c r="AW224" s="2560"/>
      <c r="AX224" s="2560"/>
      <c r="AY224" s="2560"/>
      <c r="AZ224" s="2560"/>
      <c r="BA224" s="2560"/>
      <c r="BB224" s="2560"/>
      <c r="BC224" s="2560"/>
      <c r="BD224" s="256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1858</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3" t="s">
        <v>1859</v>
      </c>
      <c r="I228" s="2573"/>
      <c r="J228" s="2573"/>
      <c r="K228" s="2573"/>
      <c r="L228" s="2573"/>
      <c r="M228" s="2573"/>
      <c r="N228" s="2573"/>
      <c r="O228" s="2573"/>
      <c r="P228" s="2573"/>
      <c r="Q228" s="2573"/>
      <c r="R228" s="2573"/>
      <c r="S228" s="2573"/>
      <c r="T228" s="2573"/>
      <c r="U228" s="2573"/>
      <c r="V228" s="2573"/>
      <c r="W228" s="2573"/>
      <c r="X228" s="2573"/>
      <c r="Y228" s="2573"/>
      <c r="Z228" s="2573"/>
      <c r="AA228" s="2573"/>
      <c r="AB228" s="2573"/>
      <c r="AC228" s="2573"/>
      <c r="AD228" s="2573"/>
      <c r="AE228" s="2573"/>
      <c r="AF228" s="2573"/>
      <c r="AG228" s="2573"/>
      <c r="AH228" s="2573"/>
      <c r="AI228" s="2573"/>
      <c r="AJ228" s="2573"/>
      <c r="AK228" s="2573"/>
      <c r="AL228" s="2573"/>
      <c r="AM228" s="2573"/>
      <c r="AN228" s="2573"/>
      <c r="AO228" s="2573"/>
      <c r="AP228" s="2573"/>
      <c r="AQ228" s="2573"/>
      <c r="AR228" s="2573"/>
      <c r="AS228" s="2573"/>
      <c r="AT228" s="2573"/>
      <c r="AU228" s="2573"/>
      <c r="AV228" s="2573"/>
      <c r="AW228" s="2573"/>
      <c r="AX228" s="2573"/>
      <c r="AY228" s="257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2" t="s">
        <v>2498</v>
      </c>
      <c r="I230" s="2572"/>
      <c r="J230" s="2572"/>
      <c r="K230" s="2572"/>
      <c r="L230" s="2572"/>
      <c r="M230" s="2572"/>
      <c r="N230" s="2572"/>
      <c r="O230" s="2572"/>
      <c r="P230" s="2572"/>
      <c r="Q230" s="2572"/>
      <c r="R230" s="2572"/>
      <c r="S230" s="2572"/>
      <c r="T230" s="2572"/>
      <c r="U230" s="2572"/>
      <c r="V230" s="2572"/>
      <c r="W230" s="2572"/>
      <c r="X230" s="2572"/>
      <c r="Y230" s="2572"/>
      <c r="Z230" s="2572"/>
      <c r="AA230" s="2572"/>
      <c r="AB230" s="2572"/>
      <c r="AC230" s="2572"/>
      <c r="AD230" s="2572"/>
      <c r="AE230" s="2572"/>
      <c r="AF230" s="2572"/>
      <c r="AG230" s="2572"/>
      <c r="AH230" s="2572"/>
      <c r="AI230" s="2572"/>
      <c r="AJ230" s="2572"/>
      <c r="AK230" s="2572"/>
      <c r="AL230" s="2572"/>
      <c r="AM230" s="2572"/>
      <c r="AN230" s="2572"/>
      <c r="AO230" s="2572"/>
      <c r="AP230" s="2572"/>
      <c r="AQ230" s="2572"/>
      <c r="AR230" s="2572"/>
      <c r="AS230" s="2572"/>
      <c r="AT230" s="2572"/>
      <c r="AU230" s="2572"/>
      <c r="AV230" s="2572"/>
      <c r="AW230" s="2572"/>
      <c r="AX230" s="2572"/>
      <c r="AY230" s="2572"/>
      <c r="AZ230" s="2572"/>
      <c r="BA230" s="1206"/>
      <c r="BB230" s="1206"/>
      <c r="BC230" s="1206"/>
      <c r="BD230" s="1202"/>
      <c r="BE230" s="1202"/>
    </row>
    <row r="231" spans="1:57" ht="15.75" customHeight="1">
      <c r="A231" s="1206"/>
      <c r="B231" s="1212"/>
      <c r="C231" s="1206"/>
      <c r="D231" s="1206"/>
      <c r="E231" s="1206"/>
      <c r="F231" s="1206"/>
      <c r="G231" s="1206"/>
      <c r="H231" s="2572"/>
      <c r="I231" s="2572"/>
      <c r="J231" s="2572"/>
      <c r="K231" s="2572"/>
      <c r="L231" s="2572"/>
      <c r="M231" s="2572"/>
      <c r="N231" s="2572"/>
      <c r="O231" s="2572"/>
      <c r="P231" s="2572"/>
      <c r="Q231" s="2572"/>
      <c r="R231" s="2572"/>
      <c r="S231" s="2572"/>
      <c r="T231" s="2572"/>
      <c r="U231" s="2572"/>
      <c r="V231" s="2572"/>
      <c r="W231" s="2572"/>
      <c r="X231" s="2572"/>
      <c r="Y231" s="2572"/>
      <c r="Z231" s="2572"/>
      <c r="AA231" s="2572"/>
      <c r="AB231" s="2572"/>
      <c r="AC231" s="2572"/>
      <c r="AD231" s="2572"/>
      <c r="AE231" s="2572"/>
      <c r="AF231" s="2572"/>
      <c r="AG231" s="2572"/>
      <c r="AH231" s="2572"/>
      <c r="AI231" s="2572"/>
      <c r="AJ231" s="2572"/>
      <c r="AK231" s="2572"/>
      <c r="AL231" s="2572"/>
      <c r="AM231" s="2572"/>
      <c r="AN231" s="2572"/>
      <c r="AO231" s="2572"/>
      <c r="AP231" s="2572"/>
      <c r="AQ231" s="2572"/>
      <c r="AR231" s="2572"/>
      <c r="AS231" s="2572"/>
      <c r="AT231" s="2572"/>
      <c r="AU231" s="2572"/>
      <c r="AV231" s="2572"/>
      <c r="AW231" s="2572"/>
      <c r="AX231" s="2572"/>
      <c r="AY231" s="2572"/>
      <c r="AZ231" s="2572"/>
      <c r="BA231" s="1206"/>
      <c r="BB231" s="1206"/>
      <c r="BC231" s="1206"/>
      <c r="BD231" s="1202"/>
      <c r="BE231" s="1202"/>
    </row>
    <row r="232" spans="1:57" ht="15.75" customHeight="1">
      <c r="A232" s="1206"/>
      <c r="B232" s="1212"/>
      <c r="C232" s="1206"/>
      <c r="D232" s="1206"/>
      <c r="E232" s="1206"/>
      <c r="F232" s="1206"/>
      <c r="G232" s="1206"/>
      <c r="H232" s="2572"/>
      <c r="I232" s="2572"/>
      <c r="J232" s="2572"/>
      <c r="K232" s="2572"/>
      <c r="L232" s="2572"/>
      <c r="M232" s="2572"/>
      <c r="N232" s="2572"/>
      <c r="O232" s="2572"/>
      <c r="P232" s="2572"/>
      <c r="Q232" s="2572"/>
      <c r="R232" s="2572"/>
      <c r="S232" s="2572"/>
      <c r="T232" s="2572"/>
      <c r="U232" s="2572"/>
      <c r="V232" s="2572"/>
      <c r="W232" s="2572"/>
      <c r="X232" s="2572"/>
      <c r="Y232" s="2572"/>
      <c r="Z232" s="2572"/>
      <c r="AA232" s="2572"/>
      <c r="AB232" s="2572"/>
      <c r="AC232" s="2572"/>
      <c r="AD232" s="2572"/>
      <c r="AE232" s="2572"/>
      <c r="AF232" s="2572"/>
      <c r="AG232" s="2572"/>
      <c r="AH232" s="2572"/>
      <c r="AI232" s="2572"/>
      <c r="AJ232" s="2572"/>
      <c r="AK232" s="2572"/>
      <c r="AL232" s="2572"/>
      <c r="AM232" s="2572"/>
      <c r="AN232" s="2572"/>
      <c r="AO232" s="2572"/>
      <c r="AP232" s="2572"/>
      <c r="AQ232" s="2572"/>
      <c r="AR232" s="2572"/>
      <c r="AS232" s="2572"/>
      <c r="AT232" s="2572"/>
      <c r="AU232" s="2572"/>
      <c r="AV232" s="2572"/>
      <c r="AW232" s="2572"/>
      <c r="AX232" s="2572"/>
      <c r="AY232" s="2572"/>
      <c r="AZ232" s="2572"/>
      <c r="BA232" s="1206"/>
      <c r="BB232" s="1206"/>
      <c r="BC232" s="1206"/>
      <c r="BD232" s="1202"/>
      <c r="BE232" s="1202"/>
    </row>
    <row r="233" spans="1:57" ht="15.75" customHeight="1">
      <c r="A233" s="1206"/>
      <c r="B233" s="1212"/>
      <c r="C233" s="1206"/>
      <c r="D233" s="1206"/>
      <c r="E233" s="1206"/>
      <c r="F233" s="1206"/>
      <c r="G233" s="1206"/>
      <c r="H233" s="2572"/>
      <c r="I233" s="2572"/>
      <c r="J233" s="2572"/>
      <c r="K233" s="2572"/>
      <c r="L233" s="2572"/>
      <c r="M233" s="2572"/>
      <c r="N233" s="2572"/>
      <c r="O233" s="2572"/>
      <c r="P233" s="2572"/>
      <c r="Q233" s="2572"/>
      <c r="R233" s="2572"/>
      <c r="S233" s="2572"/>
      <c r="T233" s="2572"/>
      <c r="U233" s="2572"/>
      <c r="V233" s="2572"/>
      <c r="W233" s="2572"/>
      <c r="X233" s="2572"/>
      <c r="Y233" s="2572"/>
      <c r="Z233" s="2572"/>
      <c r="AA233" s="2572"/>
      <c r="AB233" s="2572"/>
      <c r="AC233" s="2572"/>
      <c r="AD233" s="2572"/>
      <c r="AE233" s="2572"/>
      <c r="AF233" s="2572"/>
      <c r="AG233" s="2572"/>
      <c r="AH233" s="2572"/>
      <c r="AI233" s="2572"/>
      <c r="AJ233" s="2572"/>
      <c r="AK233" s="2572"/>
      <c r="AL233" s="2572"/>
      <c r="AM233" s="2572"/>
      <c r="AN233" s="2572"/>
      <c r="AO233" s="2572"/>
      <c r="AP233" s="2572"/>
      <c r="AQ233" s="2572"/>
      <c r="AR233" s="2572"/>
      <c r="AS233" s="2572"/>
      <c r="AT233" s="2572"/>
      <c r="AU233" s="2572"/>
      <c r="AV233" s="2572"/>
      <c r="AW233" s="2572"/>
      <c r="AX233" s="2572"/>
      <c r="AY233" s="2572"/>
      <c r="AZ233" s="257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1" t="s">
        <v>1860</v>
      </c>
      <c r="I235" s="2571"/>
      <c r="J235" s="2571"/>
      <c r="K235" s="2571"/>
      <c r="L235" s="2571"/>
      <c r="M235" s="2571"/>
      <c r="N235" s="2571"/>
      <c r="O235" s="2571"/>
      <c r="P235" s="2571"/>
      <c r="Q235" s="2571"/>
      <c r="R235" s="2571"/>
      <c r="S235" s="2571"/>
      <c r="T235" s="2571"/>
      <c r="U235" s="2571"/>
      <c r="V235" s="2571"/>
      <c r="W235" s="2571"/>
      <c r="X235" s="2571"/>
      <c r="Y235" s="2571"/>
      <c r="Z235" s="2571"/>
      <c r="AA235" s="2571"/>
      <c r="AB235" s="2571"/>
      <c r="AC235" s="2571"/>
      <c r="AD235" s="2571"/>
      <c r="AE235" s="2571"/>
      <c r="AF235" s="2571"/>
      <c r="AG235" s="2571"/>
      <c r="AH235" s="2571"/>
      <c r="AI235" s="2571"/>
      <c r="AJ235" s="2571"/>
      <c r="AK235" s="2571"/>
      <c r="AL235" s="2571"/>
      <c r="AM235" s="2571"/>
      <c r="AN235" s="2571"/>
      <c r="AO235" s="2571"/>
      <c r="AP235" s="2571"/>
      <c r="AQ235" s="2571"/>
      <c r="AR235" s="2571"/>
      <c r="AS235" s="2571"/>
      <c r="AT235" s="2571"/>
      <c r="AU235" s="2571"/>
      <c r="AV235" s="257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7" t="s">
        <v>1861</v>
      </c>
      <c r="I237" s="2547"/>
      <c r="J237" s="2547"/>
      <c r="K237" s="2547"/>
      <c r="L237" s="1208"/>
      <c r="M237" s="1208"/>
      <c r="N237" s="1208"/>
      <c r="O237" s="1208"/>
      <c r="P237" s="1208"/>
      <c r="Q237" s="1208"/>
      <c r="R237" s="1208"/>
      <c r="S237" s="2568"/>
      <c r="T237" s="2569"/>
      <c r="U237" s="2569"/>
      <c r="V237" s="2569"/>
      <c r="W237" s="2569"/>
      <c r="X237" s="2569"/>
      <c r="Y237" s="2569"/>
      <c r="Z237" s="2569"/>
      <c r="AA237" s="2569"/>
      <c r="AB237" s="2569"/>
      <c r="AC237" s="2569"/>
      <c r="AD237" s="2569"/>
      <c r="AE237" s="2569"/>
      <c r="AF237" s="2569"/>
      <c r="AG237" s="2569"/>
      <c r="AH237" s="2569"/>
      <c r="AI237" s="2569"/>
      <c r="AJ237" s="257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7" t="s">
        <v>1862</v>
      </c>
      <c r="I239" s="2547"/>
      <c r="J239" s="2547"/>
      <c r="K239" s="1210"/>
      <c r="L239" s="1208"/>
      <c r="M239" s="1208"/>
      <c r="N239" s="1208"/>
      <c r="O239" s="1208"/>
      <c r="P239" s="1208"/>
      <c r="Q239" s="1208"/>
      <c r="R239" s="1208"/>
      <c r="S239" s="2565"/>
      <c r="T239" s="2566"/>
      <c r="U239" s="2566"/>
      <c r="V239" s="2566"/>
      <c r="W239" s="2566"/>
      <c r="X239" s="2566"/>
      <c r="Y239" s="2566"/>
      <c r="Z239" s="2566"/>
      <c r="AA239" s="2566"/>
      <c r="AB239" s="2566"/>
      <c r="AC239" s="2566"/>
      <c r="AD239" s="2566"/>
      <c r="AE239" s="2566"/>
      <c r="AF239" s="2566"/>
      <c r="AG239" s="2566"/>
      <c r="AH239" s="2566"/>
      <c r="AI239" s="2566"/>
      <c r="AJ239" s="256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7" t="s">
        <v>444</v>
      </c>
      <c r="I241" s="2547"/>
      <c r="J241" s="1210"/>
      <c r="K241" s="1210"/>
      <c r="L241" s="1208"/>
      <c r="M241" s="1208"/>
      <c r="N241" s="1208"/>
      <c r="O241" s="1208"/>
      <c r="P241" s="1208"/>
      <c r="Q241" s="1208"/>
      <c r="R241" s="1208"/>
      <c r="S241" s="2565"/>
      <c r="T241" s="2566"/>
      <c r="U241" s="2566"/>
      <c r="V241" s="2566"/>
      <c r="W241" s="2566"/>
      <c r="X241" s="2566"/>
      <c r="Y241" s="2566"/>
      <c r="Z241" s="2566"/>
      <c r="AA241" s="2566"/>
      <c r="AB241" s="2566"/>
      <c r="AC241" s="2566"/>
      <c r="AD241" s="2566"/>
      <c r="AE241" s="2566"/>
      <c r="AF241" s="2566"/>
      <c r="AG241" s="2566"/>
      <c r="AH241" s="2566"/>
      <c r="AI241" s="2566"/>
      <c r="AJ241" s="256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8" t="s">
        <v>1863</v>
      </c>
      <c r="I243" s="2548"/>
      <c r="J243" s="2548"/>
      <c r="K243" s="2548"/>
      <c r="L243" s="2548"/>
      <c r="M243" s="2548"/>
      <c r="N243" s="2548"/>
      <c r="O243" s="2548"/>
      <c r="P243" s="1208"/>
      <c r="Q243" s="1208"/>
      <c r="R243" s="1208"/>
      <c r="S243" s="2565"/>
      <c r="T243" s="2566"/>
      <c r="U243" s="2566"/>
      <c r="V243" s="2566"/>
      <c r="W243" s="2566"/>
      <c r="X243" s="2566"/>
      <c r="Y243" s="2566"/>
      <c r="Z243" s="2566"/>
      <c r="AA243" s="2566"/>
      <c r="AB243" s="2566"/>
      <c r="AC243" s="2566"/>
      <c r="AD243" s="2566"/>
      <c r="AE243" s="2566"/>
      <c r="AF243" s="2566"/>
      <c r="AG243" s="2566"/>
      <c r="AH243" s="2566"/>
      <c r="AI243" s="2566"/>
      <c r="AJ243" s="256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9" t="s">
        <v>1864</v>
      </c>
      <c r="I245" s="2549"/>
      <c r="J245" s="1208"/>
      <c r="K245" s="1208"/>
      <c r="L245" s="1208"/>
      <c r="M245" s="1208"/>
      <c r="N245" s="1208"/>
      <c r="O245" s="1208"/>
      <c r="P245" s="1208"/>
      <c r="Q245" s="1208"/>
      <c r="R245" s="1208"/>
      <c r="S245" s="2562"/>
      <c r="T245" s="2563"/>
      <c r="U245" s="2563"/>
      <c r="V245" s="2563"/>
      <c r="W245" s="2563"/>
      <c r="X245" s="2563"/>
      <c r="Y245" s="2563"/>
      <c r="Z245" s="2563"/>
      <c r="AA245" s="2563"/>
      <c r="AB245" s="2563"/>
      <c r="AC245" s="2563"/>
      <c r="AD245" s="2563"/>
      <c r="AE245" s="2563"/>
      <c r="AF245" s="2563"/>
      <c r="AG245" s="2563"/>
      <c r="AH245" s="2563"/>
      <c r="AI245" s="2563"/>
      <c r="AJ245" s="256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N54" sqref="AN54"/>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59" t="s">
        <v>1390</v>
      </c>
      <c r="B1" s="2659"/>
      <c r="C1" s="2659"/>
      <c r="D1" s="2659"/>
      <c r="E1" s="2659"/>
      <c r="F1" s="2659"/>
      <c r="G1" s="2659"/>
      <c r="H1" s="2659"/>
      <c r="I1" s="2659"/>
      <c r="J1" s="2659"/>
      <c r="K1" s="2659"/>
      <c r="L1" s="2659"/>
      <c r="M1" s="2659"/>
      <c r="N1" s="2659"/>
      <c r="O1" s="2659"/>
      <c r="P1" s="2659"/>
      <c r="Q1" s="2659"/>
      <c r="R1" s="2659"/>
      <c r="S1" s="2659"/>
      <c r="T1" s="2659"/>
      <c r="U1" s="2659"/>
      <c r="V1" s="2659"/>
      <c r="W1" s="2659"/>
      <c r="X1" s="2659"/>
      <c r="Y1" s="2659"/>
      <c r="Z1" s="2659"/>
      <c r="AA1" s="2659"/>
      <c r="AB1" s="2659"/>
      <c r="AC1" s="2659"/>
      <c r="AD1" s="2659"/>
      <c r="AE1" s="2659"/>
      <c r="AF1" s="2659"/>
      <c r="AG1" s="2659"/>
      <c r="AH1" s="2659"/>
      <c r="AI1" s="2659"/>
      <c r="AJ1" s="2659"/>
      <c r="AK1" s="2659"/>
      <c r="AL1" s="2659"/>
      <c r="AM1" s="2659"/>
      <c r="AN1" s="2659"/>
    </row>
    <row r="2" spans="1:40" ht="13" customHeight="1" thickBot="1">
      <c r="A2" s="2660"/>
      <c r="B2" s="2660"/>
      <c r="C2" s="2660"/>
      <c r="D2" s="2660"/>
      <c r="E2" s="2660"/>
      <c r="F2" s="2660"/>
      <c r="G2" s="2660"/>
      <c r="H2" s="2660"/>
      <c r="I2" s="2660"/>
      <c r="J2" s="2660"/>
      <c r="K2" s="2660"/>
      <c r="L2" s="2660"/>
      <c r="M2" s="2660"/>
      <c r="N2" s="2660"/>
      <c r="O2" s="2660"/>
      <c r="P2" s="2660"/>
      <c r="Q2" s="2660"/>
      <c r="R2" s="2660"/>
      <c r="S2" s="2660"/>
      <c r="T2" s="2660"/>
      <c r="U2" s="2660"/>
      <c r="V2" s="2660"/>
      <c r="W2" s="2660"/>
      <c r="X2" s="2660"/>
      <c r="Y2" s="2660"/>
      <c r="Z2" s="2660"/>
      <c r="AA2" s="2660"/>
      <c r="AB2" s="2660"/>
      <c r="AC2" s="2660"/>
      <c r="AD2" s="2660"/>
      <c r="AE2" s="2660"/>
      <c r="AF2" s="2660"/>
      <c r="AG2" s="2660"/>
      <c r="AH2" s="2660"/>
      <c r="AI2" s="2660"/>
      <c r="AJ2" s="2660"/>
      <c r="AK2" s="2660"/>
      <c r="AL2" s="2660"/>
      <c r="AM2" s="2660"/>
      <c r="AN2" s="2660"/>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3"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3"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3"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3" customHeight="1">
      <c r="B11" s="2622" t="s">
        <v>376</v>
      </c>
      <c r="C11" s="2623"/>
      <c r="D11" s="2623"/>
      <c r="E11" s="2623"/>
      <c r="F11" s="2623"/>
      <c r="G11" s="2623"/>
      <c r="H11" s="2623"/>
      <c r="I11" s="2623"/>
      <c r="J11" s="2623"/>
      <c r="K11" s="2623"/>
      <c r="L11" s="2623"/>
      <c r="M11" s="2623"/>
      <c r="N11" s="2623"/>
      <c r="O11" s="2623"/>
      <c r="P11" s="2623"/>
      <c r="Q11" s="2623"/>
      <c r="R11" s="2623"/>
      <c r="S11" s="2624"/>
      <c r="T11" s="2661">
        <f>IF('Sources and Basis Breakdown'!F107=0,'Sources and Basis Breakdown'!E107,'Sources and Basis Breakdown'!F107)</f>
        <v>80788353.634844854</v>
      </c>
      <c r="U11" s="2662"/>
      <c r="V11" s="2662"/>
      <c r="W11" s="2662"/>
      <c r="X11" s="2662"/>
      <c r="Y11" s="2661">
        <f>IF(Y7="",0,IF('Sources and Basis Breakdown'!G107+'Sources and Basis Breakdown'!F107='Sources and Basis Breakdown'!E107,'Sources and Basis Breakdown'!G107,0))</f>
        <v>0</v>
      </c>
      <c r="Z11" s="2662"/>
      <c r="AA11" s="2662"/>
      <c r="AB11" s="2662"/>
      <c r="AC11" s="2662"/>
      <c r="AD11" s="2662">
        <f>IF('Sources and Basis Breakdown'!I107=0,'Sources and Basis Breakdown'!H107,'Sources and Basis Breakdown'!I107)</f>
        <v>0</v>
      </c>
      <c r="AE11" s="2662"/>
      <c r="AF11" s="2662"/>
      <c r="AG11" s="2662"/>
      <c r="AH11" s="2662"/>
      <c r="AI11" s="2662">
        <f>IF(Y7="",0,IF('Sources and Basis Breakdown'!I107+'Sources and Basis Breakdown'!J107='Sources and Basis Breakdown'!H107,'Sources and Basis Breakdown'!J107,0))</f>
        <v>0</v>
      </c>
      <c r="AJ11" s="2662"/>
      <c r="AK11" s="2662"/>
      <c r="AL11" s="2662"/>
      <c r="AM11" s="2662"/>
    </row>
    <row r="12" spans="1:40" ht="13" customHeight="1">
      <c r="B12" s="2663" t="s">
        <v>506</v>
      </c>
      <c r="C12" s="1281"/>
      <c r="D12" s="1281"/>
      <c r="E12" s="1281"/>
      <c r="F12" s="1281"/>
      <c r="G12" s="1281"/>
      <c r="H12" s="1281"/>
      <c r="I12" s="1281"/>
      <c r="J12" s="1281"/>
      <c r="K12" s="1281"/>
      <c r="L12" s="1281"/>
      <c r="M12" s="1281"/>
      <c r="N12" s="1281"/>
      <c r="O12" s="1281"/>
      <c r="P12" s="1281"/>
      <c r="Q12" s="1281"/>
      <c r="R12" s="1281"/>
      <c r="S12" s="2664"/>
      <c r="T12" s="2654"/>
      <c r="U12" s="2655"/>
      <c r="V12" s="2655"/>
      <c r="W12" s="2655"/>
      <c r="X12" s="2656"/>
      <c r="Y12" s="2654"/>
      <c r="Z12" s="2655"/>
      <c r="AA12" s="2655"/>
      <c r="AB12" s="2655"/>
      <c r="AC12" s="2656"/>
      <c r="AD12" s="2654"/>
      <c r="AE12" s="2655"/>
      <c r="AF12" s="2655"/>
      <c r="AG12" s="2655"/>
      <c r="AH12" s="2656"/>
      <c r="AI12" s="2654"/>
      <c r="AJ12" s="2655"/>
      <c r="AK12" s="2655"/>
      <c r="AL12" s="2655"/>
      <c r="AM12" s="2656"/>
    </row>
    <row r="13" spans="1:40" ht="13" customHeight="1">
      <c r="B13" s="467"/>
      <c r="C13" s="2665" t="s">
        <v>507</v>
      </c>
      <c r="D13" s="2665"/>
      <c r="E13" s="2665"/>
      <c r="F13" s="2665"/>
      <c r="G13" s="2665"/>
      <c r="H13" s="2665"/>
      <c r="I13" s="2665"/>
      <c r="J13" s="2665"/>
      <c r="K13" s="2665"/>
      <c r="L13" s="2665"/>
      <c r="M13" s="2665"/>
      <c r="N13" s="2665"/>
      <c r="O13" s="2665"/>
      <c r="P13" s="2665"/>
      <c r="Q13" s="2665"/>
      <c r="R13" s="2665"/>
      <c r="S13" s="2666"/>
      <c r="T13" s="2657"/>
      <c r="U13" s="2658"/>
      <c r="V13" s="2658"/>
      <c r="W13" s="2658"/>
      <c r="X13" s="2658"/>
      <c r="Y13" s="2657"/>
      <c r="Z13" s="2658"/>
      <c r="AA13" s="2658"/>
      <c r="AB13" s="2658"/>
      <c r="AC13" s="2658"/>
      <c r="AD13" s="2658"/>
      <c r="AE13" s="2658"/>
      <c r="AF13" s="2658"/>
      <c r="AG13" s="2658"/>
      <c r="AH13" s="2658"/>
      <c r="AI13" s="2658"/>
      <c r="AJ13" s="2658"/>
      <c r="AK13" s="2658"/>
      <c r="AL13" s="2658"/>
      <c r="AM13" s="2658"/>
    </row>
    <row r="14" spans="1:40" ht="13" customHeight="1">
      <c r="B14" s="467"/>
      <c r="C14" s="2665" t="s">
        <v>508</v>
      </c>
      <c r="D14" s="2665"/>
      <c r="E14" s="2665"/>
      <c r="F14" s="2665"/>
      <c r="G14" s="2665"/>
      <c r="H14" s="2665"/>
      <c r="I14" s="2665"/>
      <c r="J14" s="2665"/>
      <c r="K14" s="2665"/>
      <c r="L14" s="2665"/>
      <c r="M14" s="2665"/>
      <c r="N14" s="2665"/>
      <c r="O14" s="2665"/>
      <c r="P14" s="2665"/>
      <c r="Q14" s="2665"/>
      <c r="R14" s="2665"/>
      <c r="S14" s="2666"/>
      <c r="T14" s="2647"/>
      <c r="U14" s="2648"/>
      <c r="V14" s="2648"/>
      <c r="W14" s="2648"/>
      <c r="X14" s="2648"/>
      <c r="Y14" s="2647"/>
      <c r="Z14" s="2648"/>
      <c r="AA14" s="2648"/>
      <c r="AB14" s="2648"/>
      <c r="AC14" s="2648"/>
      <c r="AD14" s="2648"/>
      <c r="AE14" s="2648"/>
      <c r="AF14" s="2648"/>
      <c r="AG14" s="2648"/>
      <c r="AH14" s="2648"/>
      <c r="AI14" s="2648"/>
      <c r="AJ14" s="2648"/>
      <c r="AK14" s="2648"/>
      <c r="AL14" s="2648"/>
      <c r="AM14" s="2648"/>
    </row>
    <row r="15" spans="1:40" ht="13" customHeight="1">
      <c r="B15" s="467"/>
      <c r="C15" s="2665" t="s">
        <v>509</v>
      </c>
      <c r="D15" s="2665"/>
      <c r="E15" s="2665"/>
      <c r="F15" s="2665"/>
      <c r="G15" s="2665"/>
      <c r="H15" s="2665"/>
      <c r="I15" s="2665"/>
      <c r="J15" s="2665"/>
      <c r="K15" s="2665"/>
      <c r="L15" s="2665"/>
      <c r="M15" s="2665"/>
      <c r="N15" s="2665"/>
      <c r="O15" s="2665"/>
      <c r="P15" s="2665"/>
      <c r="Q15" s="2665"/>
      <c r="R15" s="2665"/>
      <c r="S15" s="2666"/>
      <c r="T15" s="2647"/>
      <c r="U15" s="2648"/>
      <c r="V15" s="2648"/>
      <c r="W15" s="2648"/>
      <c r="X15" s="2648"/>
      <c r="Y15" s="2647"/>
      <c r="Z15" s="2648"/>
      <c r="AA15" s="2648"/>
      <c r="AB15" s="2648"/>
      <c r="AC15" s="2648"/>
      <c r="AD15" s="2648"/>
      <c r="AE15" s="2648"/>
      <c r="AF15" s="2648"/>
      <c r="AG15" s="2648"/>
      <c r="AH15" s="2648"/>
      <c r="AI15" s="2648"/>
      <c r="AJ15" s="2648"/>
      <c r="AK15" s="2648"/>
      <c r="AL15" s="2648"/>
      <c r="AM15" s="2648"/>
    </row>
    <row r="16" spans="1:40" ht="13" customHeight="1">
      <c r="B16" s="467"/>
      <c r="C16" s="2665" t="s">
        <v>815</v>
      </c>
      <c r="D16" s="2665"/>
      <c r="E16" s="2665"/>
      <c r="F16" s="2665"/>
      <c r="G16" s="2665"/>
      <c r="H16" s="2665"/>
      <c r="I16" s="2665"/>
      <c r="J16" s="2665"/>
      <c r="K16" s="2665"/>
      <c r="L16" s="2665"/>
      <c r="M16" s="2665"/>
      <c r="N16" s="2665"/>
      <c r="O16" s="2665"/>
      <c r="P16" s="2665"/>
      <c r="Q16" s="2665"/>
      <c r="R16" s="2665"/>
      <c r="S16" s="2666"/>
      <c r="T16" s="2647"/>
      <c r="U16" s="2648"/>
      <c r="V16" s="2648"/>
      <c r="W16" s="2648"/>
      <c r="X16" s="2648"/>
      <c r="Y16" s="2647"/>
      <c r="Z16" s="2648"/>
      <c r="AA16" s="2648"/>
      <c r="AB16" s="2648"/>
      <c r="AC16" s="2648"/>
      <c r="AD16" s="2648"/>
      <c r="AE16" s="2648"/>
      <c r="AF16" s="2648"/>
      <c r="AG16" s="2648"/>
      <c r="AH16" s="2648"/>
      <c r="AI16" s="2648"/>
      <c r="AJ16" s="2648"/>
      <c r="AK16" s="2648"/>
      <c r="AL16" s="2648"/>
      <c r="AM16" s="2648"/>
    </row>
    <row r="17" spans="1:40" ht="13" customHeight="1">
      <c r="B17" s="467"/>
      <c r="C17" s="2665" t="s">
        <v>510</v>
      </c>
      <c r="D17" s="2665"/>
      <c r="E17" s="2665"/>
      <c r="F17" s="2665"/>
      <c r="G17" s="2665"/>
      <c r="H17" s="2665"/>
      <c r="I17" s="2665"/>
      <c r="J17" s="2665"/>
      <c r="K17" s="2665"/>
      <c r="L17" s="2665"/>
      <c r="M17" s="2665"/>
      <c r="N17" s="2665"/>
      <c r="O17" s="2665"/>
      <c r="P17" s="2665"/>
      <c r="Q17" s="2665"/>
      <c r="R17" s="2665"/>
      <c r="S17" s="2666"/>
      <c r="T17" s="2647"/>
      <c r="U17" s="2648"/>
      <c r="V17" s="2648"/>
      <c r="W17" s="2648"/>
      <c r="X17" s="2648"/>
      <c r="Y17" s="2647"/>
      <c r="Z17" s="2648"/>
      <c r="AA17" s="2648"/>
      <c r="AB17" s="2648"/>
      <c r="AC17" s="2648"/>
      <c r="AD17" s="2648"/>
      <c r="AE17" s="2648"/>
      <c r="AF17" s="2648"/>
      <c r="AG17" s="2648"/>
      <c r="AH17" s="2648"/>
      <c r="AI17" s="2648"/>
      <c r="AJ17" s="2648"/>
      <c r="AK17" s="2648"/>
      <c r="AL17" s="2648"/>
      <c r="AM17" s="2648"/>
    </row>
    <row r="18" spans="1:40" ht="13" customHeight="1">
      <c r="A18"/>
      <c r="B18" s="1194"/>
      <c r="C18" s="1673" t="s">
        <v>980</v>
      </c>
      <c r="D18" s="1673"/>
      <c r="E18" s="1673"/>
      <c r="F18" s="1673"/>
      <c r="G18" s="1673"/>
      <c r="H18" s="1673"/>
      <c r="I18" s="1673"/>
      <c r="J18" s="1673"/>
      <c r="K18" s="1673"/>
      <c r="L18" s="1673"/>
      <c r="M18" s="1673"/>
      <c r="N18" s="1673"/>
      <c r="O18" s="1673"/>
      <c r="P18" s="1673"/>
      <c r="Q18" s="1673"/>
      <c r="R18" s="1673"/>
      <c r="S18" s="1674"/>
      <c r="T18" s="2647"/>
      <c r="U18" s="2648"/>
      <c r="V18" s="2648"/>
      <c r="W18" s="2648"/>
      <c r="X18" s="2648"/>
      <c r="Y18" s="2647"/>
      <c r="Z18" s="2648"/>
      <c r="AA18" s="2648"/>
      <c r="AB18" s="2648"/>
      <c r="AC18" s="2648"/>
      <c r="AD18" s="2648"/>
      <c r="AE18" s="2648"/>
      <c r="AF18" s="2648"/>
      <c r="AG18" s="2648"/>
      <c r="AH18" s="2648"/>
      <c r="AI18" s="2648"/>
      <c r="AJ18" s="2648"/>
      <c r="AK18" s="2648"/>
      <c r="AL18" s="2648"/>
      <c r="AM18" s="2648"/>
    </row>
    <row r="19" spans="1:40" ht="13" customHeight="1">
      <c r="B19" s="1194"/>
      <c r="C19" s="1673" t="s">
        <v>980</v>
      </c>
      <c r="D19" s="1673"/>
      <c r="E19" s="1673"/>
      <c r="F19" s="1673"/>
      <c r="G19" s="1673"/>
      <c r="H19" s="1673"/>
      <c r="I19" s="1673"/>
      <c r="J19" s="1673"/>
      <c r="K19" s="1673"/>
      <c r="L19" s="1673"/>
      <c r="M19" s="1673"/>
      <c r="N19" s="1673"/>
      <c r="O19" s="1673"/>
      <c r="P19" s="1673"/>
      <c r="Q19" s="1673"/>
      <c r="R19" s="1673"/>
      <c r="S19" s="1674"/>
      <c r="T19" s="2647"/>
      <c r="U19" s="2648"/>
      <c r="V19" s="2648"/>
      <c r="W19" s="2648"/>
      <c r="X19" s="2648"/>
      <c r="Y19" s="2647"/>
      <c r="Z19" s="2648"/>
      <c r="AA19" s="2648"/>
      <c r="AB19" s="2648"/>
      <c r="AC19" s="2648"/>
      <c r="AD19" s="2648"/>
      <c r="AE19" s="2648"/>
      <c r="AF19" s="2648"/>
      <c r="AG19" s="2648"/>
      <c r="AH19" s="2648"/>
      <c r="AI19" s="2648"/>
      <c r="AJ19" s="2648"/>
      <c r="AK19" s="2648"/>
      <c r="AL19" s="2648"/>
      <c r="AM19" s="2648"/>
    </row>
    <row r="20" spans="1:40" ht="13" customHeight="1">
      <c r="B20" s="2622" t="s">
        <v>511</v>
      </c>
      <c r="C20" s="2623"/>
      <c r="D20" s="2623"/>
      <c r="E20" s="2623"/>
      <c r="F20" s="2623"/>
      <c r="G20" s="2623"/>
      <c r="H20" s="2623"/>
      <c r="I20" s="2623"/>
      <c r="J20" s="2623"/>
      <c r="K20" s="2623"/>
      <c r="L20" s="2623"/>
      <c r="M20" s="2623"/>
      <c r="N20" s="2623"/>
      <c r="O20" s="2623"/>
      <c r="P20" s="2623"/>
      <c r="Q20" s="2623"/>
      <c r="R20" s="2623"/>
      <c r="S20" s="2624"/>
      <c r="T20" s="2638">
        <f>SUM(T13:X19)</f>
        <v>0</v>
      </c>
      <c r="U20" s="2616"/>
      <c r="V20" s="2616"/>
      <c r="W20" s="2616"/>
      <c r="X20" s="2616"/>
      <c r="Y20" s="2638">
        <f>SUM(Y13:AC19)</f>
        <v>0</v>
      </c>
      <c r="Z20" s="2616"/>
      <c r="AA20" s="2616"/>
      <c r="AB20" s="2616"/>
      <c r="AC20" s="2616"/>
      <c r="AD20" s="2626">
        <f>SUM(AD13:AH19)</f>
        <v>0</v>
      </c>
      <c r="AE20" s="2637"/>
      <c r="AF20" s="2637"/>
      <c r="AG20" s="2637"/>
      <c r="AH20" s="2638"/>
      <c r="AI20" s="2626">
        <f>SUM(AI13:AM19)</f>
        <v>0</v>
      </c>
      <c r="AJ20" s="2637"/>
      <c r="AK20" s="2637"/>
      <c r="AL20" s="2637"/>
      <c r="AM20" s="2638"/>
    </row>
    <row r="21" spans="1:40" ht="13" customHeight="1">
      <c r="B21" s="2622" t="s">
        <v>1373</v>
      </c>
      <c r="C21" s="2623"/>
      <c r="D21" s="2623"/>
      <c r="E21" s="2623"/>
      <c r="F21" s="2623"/>
      <c r="G21" s="2623"/>
      <c r="H21" s="2623"/>
      <c r="I21" s="2623"/>
      <c r="J21" s="2623"/>
      <c r="K21" s="2623"/>
      <c r="L21" s="2623"/>
      <c r="M21" s="2623"/>
      <c r="N21" s="2623"/>
      <c r="O21" s="2623"/>
      <c r="P21" s="2623"/>
      <c r="Q21" s="2623"/>
      <c r="R21" s="2623"/>
      <c r="S21" s="2624"/>
      <c r="T21" s="2647"/>
      <c r="U21" s="2648"/>
      <c r="V21" s="2648"/>
      <c r="W21" s="2648"/>
      <c r="X21" s="2648"/>
      <c r="Y21" s="2647"/>
      <c r="Z21" s="2648"/>
      <c r="AA21" s="2648"/>
      <c r="AB21" s="2648"/>
      <c r="AC21" s="2648"/>
      <c r="AD21" s="2654"/>
      <c r="AE21" s="2655"/>
      <c r="AF21" s="2655"/>
      <c r="AG21" s="2655"/>
      <c r="AH21" s="2656"/>
      <c r="AI21" s="2654"/>
      <c r="AJ21" s="2655"/>
      <c r="AK21" s="2655"/>
      <c r="AL21" s="2655"/>
      <c r="AM21" s="2656"/>
    </row>
    <row r="22" spans="1:40" ht="13" customHeight="1">
      <c r="B22" s="2622" t="s">
        <v>512</v>
      </c>
      <c r="C22" s="2623"/>
      <c r="D22" s="2623"/>
      <c r="E22" s="2623"/>
      <c r="F22" s="2623"/>
      <c r="G22" s="2623"/>
      <c r="H22" s="2623"/>
      <c r="I22" s="2623"/>
      <c r="J22" s="2623"/>
      <c r="K22" s="2623"/>
      <c r="L22" s="2623"/>
      <c r="M22" s="2623"/>
      <c r="N22" s="2623"/>
      <c r="O22" s="2623"/>
      <c r="P22" s="2623"/>
      <c r="Q22" s="2623"/>
      <c r="R22" s="2623"/>
      <c r="S22" s="2624"/>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3" customHeight="1">
      <c r="B23" s="2622" t="s">
        <v>513</v>
      </c>
      <c r="C23" s="2623"/>
      <c r="D23" s="2623"/>
      <c r="E23" s="2623"/>
      <c r="F23" s="2623"/>
      <c r="G23" s="2623"/>
      <c r="H23" s="2623"/>
      <c r="I23" s="2623"/>
      <c r="J23" s="2623"/>
      <c r="K23" s="2623"/>
      <c r="L23" s="2623"/>
      <c r="M23" s="2623"/>
      <c r="N23" s="2623"/>
      <c r="O23" s="2623"/>
      <c r="P23" s="2623"/>
      <c r="Q23" s="2623"/>
      <c r="R23" s="2623"/>
      <c r="S23" s="2624"/>
      <c r="T23" s="2638">
        <f>T11+T22</f>
        <v>80788353.634844854</v>
      </c>
      <c r="U23" s="2616"/>
      <c r="V23" s="2616"/>
      <c r="W23" s="2616"/>
      <c r="X23" s="2616"/>
      <c r="Y23" s="2638">
        <f>Y11+Y22</f>
        <v>0</v>
      </c>
      <c r="Z23" s="2616"/>
      <c r="AA23" s="2616"/>
      <c r="AB23" s="2616"/>
      <c r="AC23" s="2616"/>
      <c r="AD23" s="2638">
        <f>AD11+AD22</f>
        <v>0</v>
      </c>
      <c r="AE23" s="2616"/>
      <c r="AF23" s="2616"/>
      <c r="AG23" s="2616"/>
      <c r="AH23" s="2616"/>
      <c r="AI23" s="2638">
        <f>AI11+AI22</f>
        <v>0</v>
      </c>
      <c r="AJ23" s="2616"/>
      <c r="AK23" s="2616"/>
      <c r="AL23" s="2616"/>
      <c r="AM23" s="2616"/>
    </row>
    <row r="24" spans="1:40" ht="13" customHeight="1">
      <c r="B24" s="2622" t="s">
        <v>981</v>
      </c>
      <c r="C24" s="2623"/>
      <c r="D24" s="2623"/>
      <c r="E24" s="2623"/>
      <c r="F24" s="2623"/>
      <c r="G24" s="2623"/>
      <c r="H24" s="2623"/>
      <c r="I24" s="2623"/>
      <c r="J24" s="2623"/>
      <c r="K24" s="2623"/>
      <c r="L24" s="2623"/>
      <c r="M24" s="2623"/>
      <c r="N24" s="2623"/>
      <c r="O24" s="2623"/>
      <c r="P24" s="2623"/>
      <c r="Q24" s="2623"/>
      <c r="R24" s="2623"/>
      <c r="S24" s="2624"/>
      <c r="T24" s="2626">
        <f>Application!AJ1052</f>
        <v>122642856.58</v>
      </c>
      <c r="U24" s="2637"/>
      <c r="V24" s="2637"/>
      <c r="W24" s="2637"/>
      <c r="X24" s="2637"/>
      <c r="Y24" s="2637"/>
      <c r="Z24" s="2637"/>
      <c r="AA24" s="2637"/>
      <c r="AB24" s="2637"/>
      <c r="AC24" s="2637"/>
      <c r="AD24" s="2637"/>
      <c r="AE24" s="2637"/>
      <c r="AF24" s="2637"/>
      <c r="AG24" s="2637"/>
      <c r="AH24" s="2637"/>
      <c r="AI24" s="2637"/>
      <c r="AJ24" s="2637"/>
      <c r="AK24" s="2637"/>
      <c r="AL24" s="2637"/>
      <c r="AM24" s="2638"/>
    </row>
    <row r="25" spans="1:40" ht="13" customHeight="1">
      <c r="B25" s="2669" t="s">
        <v>1374</v>
      </c>
      <c r="C25" s="2670"/>
      <c r="D25" s="2670"/>
      <c r="E25" s="2670"/>
      <c r="F25" s="2670"/>
      <c r="G25" s="2670"/>
      <c r="H25" s="2670"/>
      <c r="I25" s="2670"/>
      <c r="J25" s="2670"/>
      <c r="K25" s="2670"/>
      <c r="L25" s="2670"/>
      <c r="M25" s="2670"/>
      <c r="N25" s="2670"/>
      <c r="O25" s="2670"/>
      <c r="P25" s="2670"/>
      <c r="Q25" s="2670"/>
      <c r="R25" s="2670"/>
      <c r="S25" s="2671"/>
      <c r="T25" s="2651">
        <f>IF(OR(Application!T196="yes",Application!T195="yes"),1.3,1)</f>
        <v>1.3</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3" customHeight="1">
      <c r="B26" s="2622" t="s">
        <v>514</v>
      </c>
      <c r="C26" s="2623"/>
      <c r="D26" s="2623"/>
      <c r="E26" s="2623"/>
      <c r="F26" s="2623"/>
      <c r="G26" s="2623"/>
      <c r="H26" s="2623"/>
      <c r="I26" s="2623"/>
      <c r="J26" s="2623"/>
      <c r="K26" s="2623"/>
      <c r="L26" s="2623"/>
      <c r="M26" s="2623"/>
      <c r="N26" s="2623"/>
      <c r="O26" s="2623"/>
      <c r="P26" s="2623"/>
      <c r="Q26" s="2623"/>
      <c r="R26" s="2623"/>
      <c r="S26" s="2624"/>
      <c r="T26" s="2638">
        <f>T23*T25</f>
        <v>105024859.72529832</v>
      </c>
      <c r="U26" s="2616"/>
      <c r="V26" s="2616"/>
      <c r="W26" s="2616"/>
      <c r="X26" s="2616"/>
      <c r="Y26" s="2638">
        <f>Y23*Y25</f>
        <v>0</v>
      </c>
      <c r="Z26" s="2616"/>
      <c r="AA26" s="2616"/>
      <c r="AB26" s="2616"/>
      <c r="AC26" s="2616"/>
      <c r="AD26" s="2638">
        <f>AD23*AD25</f>
        <v>0</v>
      </c>
      <c r="AE26" s="2616"/>
      <c r="AF26" s="2616"/>
      <c r="AG26" s="2616"/>
      <c r="AH26" s="2616"/>
      <c r="AI26" s="2638">
        <f>AI23*AI25</f>
        <v>0</v>
      </c>
      <c r="AJ26" s="2616"/>
      <c r="AK26" s="2616"/>
      <c r="AL26" s="2616"/>
      <c r="AM26" s="2616"/>
    </row>
    <row r="27" spans="1:40" ht="13" customHeight="1">
      <c r="A27" s="441"/>
      <c r="B27" s="2672" t="s">
        <v>427</v>
      </c>
      <c r="C27" s="2673"/>
      <c r="D27" s="2673"/>
      <c r="E27" s="2673"/>
      <c r="F27" s="2673"/>
      <c r="G27" s="2673"/>
      <c r="H27" s="2673"/>
      <c r="I27" s="2673"/>
      <c r="J27" s="2673"/>
      <c r="K27" s="2673"/>
      <c r="L27" s="2673"/>
      <c r="M27" s="2673"/>
      <c r="N27" s="2673"/>
      <c r="O27" s="2673"/>
      <c r="P27" s="2673"/>
      <c r="Q27" s="2673"/>
      <c r="R27" s="2673"/>
      <c r="S27" s="2674"/>
      <c r="T27" s="2649">
        <f>Application!$AG$445</f>
        <v>1</v>
      </c>
      <c r="U27" s="2650"/>
      <c r="V27" s="2650"/>
      <c r="W27" s="2650"/>
      <c r="X27" s="2650"/>
      <c r="Y27" s="2649">
        <f>Application!$AG$445</f>
        <v>1</v>
      </c>
      <c r="Z27" s="2650"/>
      <c r="AA27" s="2650"/>
      <c r="AB27" s="2650"/>
      <c r="AC27" s="2650"/>
      <c r="AD27" s="2649">
        <f>Application!$AG$445</f>
        <v>1</v>
      </c>
      <c r="AE27" s="2650"/>
      <c r="AF27" s="2650"/>
      <c r="AG27" s="2650"/>
      <c r="AH27" s="2650"/>
      <c r="AI27" s="2649">
        <f>Application!$AG$445</f>
        <v>1</v>
      </c>
      <c r="AJ27" s="2650"/>
      <c r="AK27" s="2650"/>
      <c r="AL27" s="2650"/>
      <c r="AM27" s="2650"/>
    </row>
    <row r="28" spans="1:40" ht="13" customHeight="1">
      <c r="A28" s="435"/>
      <c r="B28" s="2622" t="s">
        <v>515</v>
      </c>
      <c r="C28" s="2623"/>
      <c r="D28" s="2623"/>
      <c r="E28" s="2623"/>
      <c r="F28" s="2623"/>
      <c r="G28" s="2623"/>
      <c r="H28" s="2623"/>
      <c r="I28" s="2623"/>
      <c r="J28" s="2623"/>
      <c r="K28" s="2623"/>
      <c r="L28" s="2623"/>
      <c r="M28" s="2623"/>
      <c r="N28" s="2623"/>
      <c r="O28" s="2623"/>
      <c r="P28" s="2623"/>
      <c r="Q28" s="2623"/>
      <c r="R28" s="2623"/>
      <c r="S28" s="2624"/>
      <c r="T28" s="2638">
        <f>IF(ISERROR((T26*T27)),0,(T26*T27))</f>
        <v>105024859.72529832</v>
      </c>
      <c r="U28" s="2616"/>
      <c r="V28" s="2616"/>
      <c r="W28" s="2616"/>
      <c r="X28" s="2616"/>
      <c r="Y28" s="2638">
        <f>IF(ISERROR((Y26*Y27)),0,(Y26*Y27))</f>
        <v>0</v>
      </c>
      <c r="Z28" s="2616"/>
      <c r="AA28" s="2616"/>
      <c r="AB28" s="2616"/>
      <c r="AC28" s="2616"/>
      <c r="AD28" s="2638">
        <f>IF(ISERROR((AD26*AD27)),0,(AD26*AD27))</f>
        <v>0</v>
      </c>
      <c r="AE28" s="2616"/>
      <c r="AF28" s="2616"/>
      <c r="AG28" s="2616"/>
      <c r="AH28" s="2616"/>
      <c r="AI28" s="2638">
        <f>IF(ISERROR((AI26*AI27)),0,(AI26*AI27))</f>
        <v>0</v>
      </c>
      <c r="AJ28" s="2616"/>
      <c r="AK28" s="2616"/>
      <c r="AL28" s="2616"/>
      <c r="AM28" s="2616"/>
    </row>
    <row r="29" spans="1:40" ht="13" customHeight="1">
      <c r="B29" s="2622" t="s">
        <v>532</v>
      </c>
      <c r="C29" s="2623"/>
      <c r="D29" s="2623"/>
      <c r="E29" s="2623"/>
      <c r="F29" s="2623"/>
      <c r="G29" s="2623"/>
      <c r="H29" s="2623"/>
      <c r="I29" s="2623"/>
      <c r="J29" s="2623"/>
      <c r="K29" s="2623"/>
      <c r="L29" s="2623"/>
      <c r="M29" s="2623"/>
      <c r="N29" s="2623"/>
      <c r="O29" s="2623"/>
      <c r="P29" s="2623"/>
      <c r="Q29" s="2623"/>
      <c r="R29" s="2623"/>
      <c r="S29" s="2624"/>
      <c r="T29" s="2626">
        <f>T28+Y28+AD28+AI28</f>
        <v>105024859.72529832</v>
      </c>
      <c r="U29" s="2637"/>
      <c r="V29" s="2637"/>
      <c r="W29" s="2637"/>
      <c r="X29" s="2637"/>
      <c r="Y29" s="2637"/>
      <c r="Z29" s="2637"/>
      <c r="AA29" s="2637"/>
      <c r="AB29" s="2637"/>
      <c r="AC29" s="2637"/>
      <c r="AD29" s="2637"/>
      <c r="AE29" s="2637"/>
      <c r="AF29" s="2637"/>
      <c r="AG29" s="2637"/>
      <c r="AH29" s="2637"/>
      <c r="AI29" s="2637"/>
      <c r="AJ29" s="2637"/>
      <c r="AK29" s="2637"/>
      <c r="AL29" s="2637"/>
      <c r="AM29" s="2638"/>
    </row>
    <row r="30" spans="1:40" ht="13" customHeight="1">
      <c r="B30" s="2642" t="s">
        <v>1376</v>
      </c>
      <c r="C30" s="2642"/>
      <c r="D30" s="2642"/>
      <c r="E30" s="2642"/>
      <c r="F30" s="2642"/>
      <c r="G30" s="2642"/>
      <c r="H30" s="2642"/>
      <c r="I30" s="2642"/>
      <c r="J30" s="2642"/>
      <c r="K30" s="2642"/>
      <c r="L30" s="2642"/>
      <c r="M30" s="2642"/>
      <c r="N30" s="2642"/>
      <c r="O30" s="2642"/>
      <c r="P30" s="2642"/>
      <c r="Q30" s="2642"/>
      <c r="R30" s="2642"/>
      <c r="S30" s="2642"/>
      <c r="T30" s="2642"/>
      <c r="U30" s="2642"/>
      <c r="V30" s="2642"/>
      <c r="W30" s="2642"/>
      <c r="X30" s="2642"/>
      <c r="Y30" s="2642"/>
      <c r="Z30" s="2642"/>
      <c r="AA30" s="2642"/>
      <c r="AB30" s="2642"/>
      <c r="AC30" s="2642"/>
      <c r="AD30" s="2642"/>
      <c r="AE30" s="2642"/>
      <c r="AF30" s="2642"/>
      <c r="AG30" s="2642"/>
      <c r="AH30" s="2642"/>
      <c r="AI30" s="2642"/>
      <c r="AJ30" s="2642"/>
      <c r="AK30" s="2642"/>
      <c r="AL30" s="2642"/>
      <c r="AM30" s="2642"/>
    </row>
    <row r="31" spans="1:40" ht="13" customHeight="1">
      <c r="B31" s="2642" t="s">
        <v>1375</v>
      </c>
      <c r="C31" s="2642"/>
      <c r="D31" s="2642"/>
      <c r="E31" s="2642"/>
      <c r="F31" s="2642"/>
      <c r="G31" s="2642"/>
      <c r="H31" s="2642"/>
      <c r="I31" s="2642"/>
      <c r="J31" s="2642"/>
      <c r="K31" s="2642"/>
      <c r="L31" s="2642"/>
      <c r="M31" s="2642"/>
      <c r="N31" s="2642"/>
      <c r="O31" s="2642"/>
      <c r="P31" s="2642"/>
      <c r="Q31" s="2642"/>
      <c r="R31" s="2642"/>
      <c r="S31" s="2642"/>
      <c r="T31" s="2642"/>
      <c r="U31" s="2642"/>
      <c r="V31" s="2642"/>
      <c r="W31" s="2642"/>
      <c r="X31" s="2642"/>
      <c r="Y31" s="2642"/>
      <c r="Z31" s="2642"/>
      <c r="AA31" s="2642"/>
      <c r="AB31" s="2642"/>
      <c r="AC31" s="2642"/>
      <c r="AD31" s="2642"/>
      <c r="AE31" s="2642"/>
      <c r="AF31" s="2642"/>
      <c r="AG31" s="2642"/>
      <c r="AH31" s="2642"/>
      <c r="AI31" s="2642"/>
      <c r="AJ31" s="2642"/>
      <c r="AK31" s="2642"/>
      <c r="AL31" s="2642"/>
      <c r="AM31" s="2642"/>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1257</v>
      </c>
      <c r="Z35" s="2639"/>
      <c r="AA35" s="2639"/>
      <c r="AB35" s="2639"/>
      <c r="AC35" s="2639"/>
      <c r="AD35" s="2640" t="s">
        <v>370</v>
      </c>
      <c r="AE35" s="2640"/>
      <c r="AF35" s="2640"/>
      <c r="AG35" s="2640"/>
      <c r="AH35" s="2640"/>
    </row>
    <row r="36" spans="1:76" ht="13" customHeight="1">
      <c r="B36" s="438"/>
      <c r="X36" s="443"/>
      <c r="Y36" s="2639"/>
      <c r="Z36" s="2639"/>
      <c r="AA36" s="2639"/>
      <c r="AB36" s="2639"/>
      <c r="AC36" s="2639"/>
      <c r="AD36" s="2640"/>
      <c r="AE36" s="2640"/>
      <c r="AF36" s="2640"/>
      <c r="AG36" s="2640"/>
      <c r="AH36" s="2640"/>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40"/>
      <c r="AE37" s="2640"/>
      <c r="AF37" s="2640"/>
      <c r="AG37" s="2640"/>
      <c r="AH37" s="2640"/>
    </row>
    <row r="38" spans="1:76" ht="13" customHeight="1">
      <c r="A38" s="435"/>
      <c r="B38" s="2622" t="s">
        <v>515</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105024859.72529832</v>
      </c>
      <c r="Z38" s="2616"/>
      <c r="AA38" s="2616"/>
      <c r="AB38" s="2616"/>
      <c r="AC38" s="2616"/>
      <c r="AD38" s="2616">
        <f>IF(T24&gt;=(T23+Y23+AD23+AI23),AD28+AI28,0)</f>
        <v>0</v>
      </c>
      <c r="AE38" s="2616"/>
      <c r="AF38" s="2616"/>
      <c r="AG38" s="2616"/>
      <c r="AH38" s="2616"/>
    </row>
    <row r="39" spans="1:76" ht="13" customHeight="1">
      <c r="B39" s="2622" t="s">
        <v>1881</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41">
        <v>0.04</v>
      </c>
      <c r="Z39" s="2641"/>
      <c r="AA39" s="2641"/>
      <c r="AB39" s="2641"/>
      <c r="AC39" s="2641"/>
      <c r="AD39" s="2641">
        <v>0.04</v>
      </c>
      <c r="AE39" s="2641"/>
      <c r="AF39" s="2641"/>
      <c r="AG39" s="2641"/>
      <c r="AH39" s="2641"/>
    </row>
    <row r="40" spans="1:76" ht="13" customHeight="1">
      <c r="A40" s="435"/>
      <c r="B40" s="2622" t="s">
        <v>651</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4200994</v>
      </c>
      <c r="Z40" s="2616"/>
      <c r="AA40" s="2616"/>
      <c r="AB40" s="2616"/>
      <c r="AC40" s="2616"/>
      <c r="AD40" s="2638">
        <f>ROUND(AD38*AD39,0)</f>
        <v>0</v>
      </c>
      <c r="AE40" s="2616"/>
      <c r="AF40" s="2616"/>
      <c r="AG40" s="2616"/>
      <c r="AH40" s="2616"/>
    </row>
    <row r="41" spans="1:76" ht="13" customHeight="1">
      <c r="B41" s="2622" t="s">
        <v>652</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26">
        <f>Y40+AD40</f>
        <v>4200994</v>
      </c>
      <c r="Z41" s="2637"/>
      <c r="AA41" s="2637"/>
      <c r="AB41" s="2637"/>
      <c r="AC41" s="2637"/>
      <c r="AD41" s="2637"/>
      <c r="AE41" s="2637"/>
      <c r="AF41" s="2637"/>
      <c r="AG41" s="2637"/>
      <c r="AH41" s="2638"/>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36" t="s">
        <v>1386</v>
      </c>
      <c r="B44" s="2636"/>
      <c r="C44" s="2636"/>
      <c r="D44" s="2636"/>
      <c r="E44" s="2636"/>
      <c r="F44" s="2636"/>
      <c r="G44" s="2636"/>
      <c r="H44" s="2636"/>
      <c r="I44" s="2636"/>
      <c r="J44" s="2636"/>
      <c r="K44" s="2636"/>
      <c r="L44" s="2636"/>
      <c r="M44" s="2636"/>
      <c r="N44" s="2636"/>
      <c r="O44" s="2636"/>
      <c r="P44" s="2636"/>
      <c r="Q44" s="2636"/>
      <c r="R44" s="2636"/>
      <c r="S44" s="2636"/>
      <c r="T44" s="2636"/>
      <c r="U44" s="2636"/>
      <c r="V44" s="2636"/>
      <c r="W44" s="2636"/>
      <c r="X44" s="2636"/>
      <c r="Y44" s="2636"/>
      <c r="Z44" s="2636"/>
      <c r="AA44" s="2636"/>
      <c r="AB44" s="2636"/>
      <c r="AC44" s="2636"/>
      <c r="AD44" s="2636"/>
      <c r="AE44" s="2636"/>
      <c r="AF44" s="2636"/>
      <c r="AG44" s="2636"/>
      <c r="AH44" s="2636"/>
      <c r="AI44" s="2636"/>
      <c r="AJ44" s="2636"/>
      <c r="AK44" s="2636"/>
      <c r="AL44" s="2636"/>
      <c r="AM44" s="2636"/>
      <c r="AN44" s="2636"/>
      <c r="AO44" s="2636"/>
      <c r="AP44" s="2636"/>
      <c r="AQ44" s="2636"/>
      <c r="AR44" s="2636"/>
      <c r="AS44" s="2636"/>
      <c r="AT44" s="2636"/>
      <c r="AU44" s="2636"/>
      <c r="AV44" s="2636"/>
      <c r="AW44" s="2636"/>
      <c r="AX44" s="2636"/>
      <c r="AY44" s="2636"/>
      <c r="AZ44" s="2636"/>
      <c r="BA44" s="2636"/>
      <c r="BB44" s="2636"/>
      <c r="BC44" s="2636"/>
      <c r="BD44" s="2636"/>
      <c r="BE44" s="2636"/>
      <c r="BF44" s="2636"/>
      <c r="BG44" s="2636"/>
      <c r="BH44" s="2636"/>
      <c r="BI44" s="2636"/>
      <c r="BJ44" s="2636"/>
      <c r="BK44" s="2636"/>
      <c r="BL44" s="2636"/>
      <c r="BM44" s="2636"/>
      <c r="BN44" s="2636"/>
      <c r="BO44" s="2636"/>
      <c r="BP44" s="2636"/>
      <c r="BQ44" s="2636"/>
      <c r="BR44" s="2636"/>
      <c r="BS44" s="2636"/>
      <c r="BT44" s="2636"/>
      <c r="BU44" s="2636"/>
      <c r="BV44" s="2636"/>
      <c r="BW44" s="2636"/>
      <c r="BX44" s="2636"/>
    </row>
    <row r="45" spans="1:76" s="218" customFormat="1" ht="13" customHeight="1" thickTop="1"/>
    <row r="46" spans="1:76" ht="13" customHeight="1">
      <c r="A46" s="435" t="s">
        <v>595</v>
      </c>
      <c r="C46" s="435" t="s">
        <v>283</v>
      </c>
    </row>
    <row r="47" spans="1:76" ht="13" customHeight="1">
      <c r="D47" s="435" t="s">
        <v>284</v>
      </c>
      <c r="AB47" s="2630">
        <f>'Sources and Uses Budget'!B105-MAX(IF('Sources and Uses Budget'!B15="",0,'Sources and Uses Budget'!B15),IF(Application!AG394="",0,Application!AG394))</f>
        <v>90513569</v>
      </c>
      <c r="AC47" s="2631"/>
      <c r="AD47" s="2631"/>
      <c r="AE47" s="2631"/>
      <c r="AF47" s="2632"/>
    </row>
    <row r="48" spans="1:76" ht="13" customHeight="1">
      <c r="D48" s="435" t="s">
        <v>21</v>
      </c>
      <c r="AB48" s="2630">
        <f>Application!AO639-MAX(IF('Sources and Uses Budget'!B15="",0,'Sources and Uses Budget'!B15),IF(Application!AG394="",0,Application!AG394))</f>
        <v>53988632</v>
      </c>
      <c r="AC48" s="2631"/>
      <c r="AD48" s="2631"/>
      <c r="AE48" s="2631"/>
      <c r="AF48" s="2632"/>
    </row>
    <row r="49" spans="1:76" ht="13" customHeight="1">
      <c r="D49" s="435" t="s">
        <v>91</v>
      </c>
      <c r="AB49" s="2630">
        <f>AB47-AB48</f>
        <v>36524937</v>
      </c>
      <c r="AC49" s="2631"/>
      <c r="AD49" s="2631"/>
      <c r="AE49" s="2631"/>
      <c r="AF49" s="2632"/>
    </row>
    <row r="50" spans="1:76" ht="13" customHeight="1">
      <c r="D50" s="435" t="s">
        <v>690</v>
      </c>
      <c r="AA50" s="446"/>
      <c r="AB50" s="2618">
        <v>0.86977265000000004</v>
      </c>
      <c r="AC50" s="2619"/>
      <c r="AD50" s="2619"/>
      <c r="AE50" s="2619"/>
      <c r="AF50" s="2620"/>
    </row>
    <row r="51" spans="1:76" s="448" customFormat="1" ht="13" customHeight="1">
      <c r="A51" s="433"/>
      <c r="B51" s="433"/>
      <c r="C51" s="433"/>
      <c r="D51" s="433"/>
      <c r="E51" s="2629" t="s">
        <v>2041</v>
      </c>
      <c r="F51" s="2629"/>
      <c r="G51" s="2629"/>
      <c r="H51" s="2629"/>
      <c r="I51" s="2629"/>
      <c r="J51" s="2629"/>
      <c r="K51" s="2629"/>
      <c r="L51" s="2629"/>
      <c r="M51" s="2629"/>
      <c r="N51" s="2629"/>
      <c r="O51" s="2629"/>
      <c r="P51" s="2629"/>
      <c r="Q51" s="2629"/>
      <c r="R51" s="2629"/>
      <c r="S51" s="2629"/>
      <c r="T51" s="2629"/>
      <c r="U51" s="2629"/>
      <c r="V51" s="2629"/>
      <c r="W51" s="2629"/>
      <c r="X51" s="2629"/>
      <c r="Y51" s="2629"/>
      <c r="Z51" s="2629"/>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29"/>
      <c r="F52" s="2629"/>
      <c r="G52" s="2629"/>
      <c r="H52" s="2629"/>
      <c r="I52" s="2629"/>
      <c r="J52" s="2629"/>
      <c r="K52" s="2629"/>
      <c r="L52" s="2629"/>
      <c r="M52" s="2629"/>
      <c r="N52" s="2629"/>
      <c r="O52" s="2629"/>
      <c r="P52" s="2629"/>
      <c r="Q52" s="2629"/>
      <c r="R52" s="2629"/>
      <c r="S52" s="2629"/>
      <c r="T52" s="2629"/>
      <c r="U52" s="2629"/>
      <c r="V52" s="2629"/>
      <c r="W52" s="2629"/>
      <c r="X52" s="2629"/>
      <c r="Y52" s="2629"/>
      <c r="Z52" s="2629"/>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30">
        <f>ROUND(IF(ISERROR((AB49/AB50)),0,(AB49/AB50)),0)</f>
        <v>41993660</v>
      </c>
      <c r="AC54" s="2631"/>
      <c r="AD54" s="2631"/>
      <c r="AE54" s="2631"/>
      <c r="AF54" s="2632"/>
    </row>
    <row r="55" spans="1:76" ht="13" customHeight="1">
      <c r="D55" s="435" t="s">
        <v>334</v>
      </c>
      <c r="AB55" s="2630">
        <f>(AB54/10)</f>
        <v>4199366</v>
      </c>
      <c r="AC55" s="2631"/>
      <c r="AD55" s="2631"/>
      <c r="AE55" s="2631"/>
      <c r="AF55" s="2632"/>
    </row>
    <row r="56" spans="1:76" ht="13" customHeight="1">
      <c r="D56" s="435" t="s">
        <v>766</v>
      </c>
      <c r="AB56" s="2633">
        <f>(IF((Y41&lt;AB55),Y41,AB55))</f>
        <v>4199366</v>
      </c>
      <c r="AC56" s="2634"/>
      <c r="AD56" s="2634"/>
      <c r="AE56" s="2634"/>
      <c r="AF56" s="2635"/>
    </row>
    <row r="57" spans="1:76" ht="13" customHeight="1">
      <c r="D57" s="435" t="s">
        <v>765</v>
      </c>
      <c r="AB57" s="2630">
        <f>ROUND((10*AB56*AB50),0)</f>
        <v>36524937</v>
      </c>
      <c r="AC57" s="2631"/>
      <c r="AD57" s="2631"/>
      <c r="AE57" s="2631"/>
      <c r="AF57" s="2632"/>
    </row>
    <row r="58" spans="1:76" ht="13" customHeight="1">
      <c r="D58" s="435"/>
      <c r="AB58" s="454"/>
      <c r="AC58" s="454"/>
      <c r="AD58" s="454"/>
      <c r="AE58" s="454"/>
      <c r="AF58" s="454"/>
    </row>
    <row r="59" spans="1:76" ht="13" customHeight="1">
      <c r="D59" s="435" t="s">
        <v>764</v>
      </c>
      <c r="AB59" s="2614">
        <f>AB49-AB57</f>
        <v>0</v>
      </c>
      <c r="AC59" s="2614"/>
      <c r="AD59" s="2614"/>
      <c r="AE59" s="2614"/>
      <c r="AF59" s="2614"/>
    </row>
    <row r="60" spans="1:76" ht="13" customHeight="1">
      <c r="D60" s="435"/>
      <c r="AB60" s="454"/>
      <c r="AC60" s="454"/>
      <c r="AD60" s="454"/>
      <c r="AE60" s="454"/>
      <c r="AF60" s="454"/>
    </row>
    <row r="61" spans="1:76" s="218" customFormat="1" ht="13" customHeight="1" thickBot="1">
      <c r="A61" s="2636" t="str">
        <f>IF(Application!AP205="yes","Farmworker State Credit", "State Credit" )</f>
        <v>State Credit</v>
      </c>
      <c r="B61" s="2636"/>
      <c r="C61" s="2636"/>
      <c r="D61" s="2636"/>
      <c r="E61" s="2636"/>
      <c r="F61" s="2636"/>
      <c r="G61" s="2636"/>
      <c r="H61" s="2636"/>
      <c r="I61" s="2636"/>
      <c r="J61" s="2636"/>
      <c r="K61" s="2636"/>
      <c r="L61" s="2636"/>
      <c r="M61" s="2636"/>
      <c r="N61" s="2636"/>
      <c r="O61" s="2636"/>
      <c r="P61" s="2636"/>
      <c r="Q61" s="2636"/>
      <c r="R61" s="2636"/>
      <c r="S61" s="2636"/>
      <c r="T61" s="2636"/>
      <c r="U61" s="2636"/>
      <c r="V61" s="2636"/>
      <c r="W61" s="2636"/>
      <c r="X61" s="2636"/>
      <c r="Y61" s="2636"/>
      <c r="Z61" s="2636"/>
      <c r="AA61" s="2636"/>
      <c r="AB61" s="2636"/>
      <c r="AC61" s="2636"/>
      <c r="AD61" s="2636"/>
      <c r="AE61" s="2636"/>
      <c r="AF61" s="2636"/>
      <c r="AG61" s="2636"/>
      <c r="AH61" s="2636"/>
      <c r="AI61" s="2636"/>
      <c r="AJ61" s="2636"/>
      <c r="AK61" s="2636"/>
      <c r="AL61" s="2636"/>
      <c r="AM61" s="2636"/>
      <c r="AN61" s="2636"/>
      <c r="AO61" s="2636"/>
      <c r="AP61" s="2636"/>
      <c r="AQ61" s="2636"/>
      <c r="AR61" s="2636"/>
      <c r="AS61" s="2636"/>
      <c r="AT61" s="2636"/>
      <c r="AU61" s="2636"/>
      <c r="AV61" s="2636"/>
      <c r="AW61" s="2636"/>
      <c r="AX61" s="2636"/>
      <c r="AY61" s="2636"/>
      <c r="AZ61" s="2636"/>
      <c r="BA61" s="2636"/>
      <c r="BB61" s="2636"/>
      <c r="BC61" s="2636"/>
      <c r="BD61" s="2636"/>
      <c r="BE61" s="2636"/>
      <c r="BF61" s="2636"/>
      <c r="BG61" s="2636"/>
      <c r="BH61" s="2636"/>
      <c r="BI61" s="2636"/>
      <c r="BJ61" s="2636"/>
      <c r="BK61" s="2636"/>
      <c r="BL61" s="2636"/>
      <c r="BM61" s="2636"/>
      <c r="BN61" s="2636"/>
      <c r="BO61" s="2636"/>
      <c r="BP61" s="2636"/>
      <c r="BQ61" s="2636"/>
      <c r="BR61" s="2636"/>
      <c r="BS61" s="2636"/>
      <c r="BT61" s="2636"/>
      <c r="BU61" s="2636"/>
      <c r="BV61" s="2636"/>
      <c r="BW61" s="2636"/>
      <c r="BX61" s="2636"/>
    </row>
    <row r="62" spans="1:76" s="218" customFormat="1" ht="13" customHeight="1" thickTop="1"/>
    <row r="63" spans="1:76" ht="13" customHeight="1">
      <c r="A63" s="435" t="s">
        <v>598</v>
      </c>
      <c r="C63" s="219" t="s">
        <v>1358</v>
      </c>
      <c r="Y63" s="2625" t="s">
        <v>1004</v>
      </c>
      <c r="Z63" s="2625"/>
      <c r="AA63" s="2625"/>
      <c r="AB63" s="2625"/>
      <c r="AC63" s="2625"/>
      <c r="AD63" s="2625" t="s">
        <v>370</v>
      </c>
      <c r="AE63" s="2625"/>
      <c r="AF63" s="2625"/>
      <c r="AG63" s="2625"/>
      <c r="AH63" s="2625"/>
    </row>
    <row r="64" spans="1:76" ht="13" customHeight="1">
      <c r="C64" s="435"/>
      <c r="D64" s="408" t="s">
        <v>1359</v>
      </c>
      <c r="E64" s="451"/>
      <c r="F64" s="451"/>
      <c r="G64" s="451"/>
      <c r="H64" s="451"/>
      <c r="I64" s="451"/>
      <c r="J64" s="451"/>
      <c r="K64" s="451"/>
      <c r="L64" s="451"/>
      <c r="M64" s="451"/>
      <c r="N64" s="451"/>
      <c r="O64" s="451"/>
      <c r="P64" s="451"/>
      <c r="Q64" s="451"/>
      <c r="R64" s="451"/>
      <c r="S64" s="451"/>
      <c r="T64" s="451"/>
      <c r="U64" s="451"/>
      <c r="V64" s="451"/>
      <c r="W64" s="451"/>
      <c r="X64" s="451"/>
      <c r="Y64" s="2626">
        <f>IF(Application!Z205="(select)",0,((T23*T27)+Y28))</f>
        <v>80788353.634844854</v>
      </c>
      <c r="Z64" s="2627"/>
      <c r="AA64" s="2627"/>
      <c r="AB64" s="2627"/>
      <c r="AC64" s="2628"/>
      <c r="AD64" s="2626">
        <f>IF(AND(OR(Application!D211="At-Risk",Application!D211="At-Risk and Special Needs"),Application!M358="yes"),AD28+AI28,0)</f>
        <v>0</v>
      </c>
      <c r="AE64" s="2627"/>
      <c r="AF64" s="2627"/>
      <c r="AG64" s="2627"/>
      <c r="AH64" s="2628"/>
    </row>
    <row r="65" spans="1:36" ht="13"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5">
        <f>IF(OR(Application!AP205="yes",Application!Z204="$500M (Farmworker Housing)"),0.75,IF(Application!Z204="15% set-aside",0.13,IF(Application!Z204="15% set-aside with qualifying low value rehab",0.95,0.3)))</f>
        <v>0.3</v>
      </c>
      <c r="Z67" s="2615"/>
      <c r="AA67" s="2615"/>
      <c r="AB67" s="2615"/>
      <c r="AC67" s="2615"/>
      <c r="AD67" s="2615">
        <f>IF(Application!Z204="15% set-aside with qualifying low value rehab", 0.95,0.13)</f>
        <v>0.13</v>
      </c>
      <c r="AE67" s="2615"/>
      <c r="AF67" s="2615"/>
      <c r="AG67" s="2615"/>
      <c r="AH67" s="2615"/>
    </row>
    <row r="68" spans="1:36" ht="13" customHeight="1">
      <c r="C68" s="435"/>
      <c r="D68" s="219" t="s">
        <v>2637</v>
      </c>
      <c r="Y68" s="2616">
        <f>ROUND(Y64*Y67,0)</f>
        <v>24236506</v>
      </c>
      <c r="Z68" s="2617"/>
      <c r="AA68" s="2617"/>
      <c r="AB68" s="2617"/>
      <c r="AC68" s="2617"/>
      <c r="AD68" s="2616">
        <f>ROUND(AD64*AD67,0)</f>
        <v>0</v>
      </c>
      <c r="AE68" s="2617"/>
      <c r="AF68" s="2617"/>
      <c r="AG68" s="2617"/>
      <c r="AH68" s="2617"/>
    </row>
    <row r="69" spans="1:36" ht="13" customHeight="1">
      <c r="C69" s="435"/>
      <c r="D69" s="219" t="s">
        <v>2638</v>
      </c>
      <c r="Y69" s="2616">
        <f>IF(OR(Application!AP205="yes",Application!Z204="$500M (Farmworker Housing)"),Y68+AD68,MIN(Y68+AD68,200000*(Application!G753+Application!O777)))</f>
        <v>24236506</v>
      </c>
      <c r="Z69" s="2616"/>
      <c r="AA69" s="2616"/>
      <c r="AB69" s="2616"/>
      <c r="AC69" s="2616"/>
      <c r="AD69" s="2616"/>
      <c r="AE69" s="2616"/>
      <c r="AF69" s="2616"/>
      <c r="AG69" s="2616"/>
      <c r="AH69" s="2616"/>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1360</v>
      </c>
      <c r="AB72" s="2618"/>
      <c r="AC72" s="2619"/>
      <c r="AD72" s="2619"/>
      <c r="AE72" s="2619"/>
      <c r="AF72" s="2620"/>
    </row>
    <row r="73" spans="1:36" ht="13" customHeight="1">
      <c r="A73" s="435"/>
      <c r="C73" s="435"/>
      <c r="D73" s="435"/>
      <c r="E73" s="2621" t="s">
        <v>1361</v>
      </c>
      <c r="F73" s="2621"/>
      <c r="G73" s="2621"/>
      <c r="H73" s="2621"/>
      <c r="I73" s="2621"/>
      <c r="J73" s="2621"/>
      <c r="K73" s="2621"/>
      <c r="L73" s="2621"/>
      <c r="M73" s="2621"/>
      <c r="N73" s="2621"/>
      <c r="O73" s="2621"/>
      <c r="P73" s="2621"/>
      <c r="Q73" s="2621"/>
      <c r="R73" s="2621"/>
      <c r="S73" s="2621"/>
      <c r="T73" s="2621"/>
      <c r="U73" s="2621"/>
      <c r="V73" s="2621"/>
      <c r="W73" s="2621"/>
      <c r="X73" s="2621"/>
      <c r="Y73" s="2621"/>
      <c r="Z73" s="2621"/>
      <c r="AA73" s="2621"/>
      <c r="AB73" s="471"/>
      <c r="AC73" s="471"/>
    </row>
    <row r="74" spans="1:36" ht="13" customHeight="1">
      <c r="A74" s="435"/>
      <c r="C74" s="435"/>
      <c r="D74" s="435"/>
      <c r="E74" s="2621"/>
      <c r="F74" s="2621"/>
      <c r="G74" s="2621"/>
      <c r="H74" s="2621"/>
      <c r="I74" s="2621"/>
      <c r="J74" s="2621"/>
      <c r="K74" s="2621"/>
      <c r="L74" s="2621"/>
      <c r="M74" s="2621"/>
      <c r="N74" s="2621"/>
      <c r="O74" s="2621"/>
      <c r="P74" s="2621"/>
      <c r="Q74" s="2621"/>
      <c r="R74" s="2621"/>
      <c r="S74" s="2621"/>
      <c r="T74" s="2621"/>
      <c r="U74" s="2621"/>
      <c r="V74" s="2621"/>
      <c r="W74" s="2621"/>
      <c r="X74" s="2621"/>
      <c r="Y74" s="2621"/>
      <c r="Z74" s="2621"/>
      <c r="AA74" s="2621"/>
      <c r="AB74" s="471"/>
      <c r="AC74" s="471"/>
    </row>
    <row r="75" spans="1:36" ht="13" customHeight="1">
      <c r="A75" s="435"/>
      <c r="C75" s="435"/>
      <c r="D75" s="435"/>
      <c r="E75" s="2621"/>
      <c r="F75" s="2621"/>
      <c r="G75" s="2621"/>
      <c r="H75" s="2621"/>
      <c r="I75" s="2621"/>
      <c r="J75" s="2621"/>
      <c r="K75" s="2621"/>
      <c r="L75" s="2621"/>
      <c r="M75" s="2621"/>
      <c r="N75" s="2621"/>
      <c r="O75" s="2621"/>
      <c r="P75" s="2621"/>
      <c r="Q75" s="2621"/>
      <c r="R75" s="2621"/>
      <c r="S75" s="2621"/>
      <c r="T75" s="2621"/>
      <c r="U75" s="2621"/>
      <c r="V75" s="2621"/>
      <c r="W75" s="2621"/>
      <c r="X75" s="2621"/>
      <c r="Y75" s="2621"/>
      <c r="Z75" s="2621"/>
      <c r="AA75" s="2621"/>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1362</v>
      </c>
      <c r="AB77" s="2609">
        <f>ROUND(IF(ISERROR((AB59/AB72)),0,(AB59/AB72)),0)</f>
        <v>0</v>
      </c>
      <c r="AC77" s="2609"/>
      <c r="AD77" s="2609"/>
      <c r="AE77" s="2609"/>
      <c r="AF77" s="2609"/>
    </row>
    <row r="78" spans="1:36" ht="13" customHeight="1">
      <c r="C78" s="435"/>
      <c r="D78" s="219" t="s">
        <v>1363</v>
      </c>
      <c r="AB78" s="2610">
        <f>MIN(Y69,AB77)</f>
        <v>0</v>
      </c>
      <c r="AC78" s="2611"/>
      <c r="AD78" s="2611"/>
      <c r="AE78" s="2611"/>
      <c r="AF78" s="2612"/>
    </row>
    <row r="79" spans="1:36" ht="13" customHeight="1">
      <c r="C79" s="435"/>
      <c r="D79" s="219" t="s">
        <v>1364</v>
      </c>
      <c r="AB79" s="2613">
        <f>AB78*AB72</f>
        <v>0</v>
      </c>
      <c r="AC79" s="2613"/>
      <c r="AD79" s="2613"/>
      <c r="AE79" s="2613"/>
      <c r="AF79" s="2613"/>
    </row>
    <row r="80" spans="1:36" ht="13" customHeight="1">
      <c r="C80" s="435"/>
      <c r="D80" s="435"/>
      <c r="AB80" s="456"/>
      <c r="AC80" s="456"/>
      <c r="AD80" s="456"/>
      <c r="AE80" s="456"/>
      <c r="AF80" s="456"/>
    </row>
    <row r="81" spans="1:78" ht="13" customHeight="1">
      <c r="D81" s="435" t="s">
        <v>764</v>
      </c>
      <c r="AB81" s="2614">
        <f>AB49-(AB57+AB79)</f>
        <v>0</v>
      </c>
      <c r="AC81" s="2614"/>
      <c r="AD81" s="2614"/>
      <c r="AE81" s="2614"/>
      <c r="AF81" s="2614"/>
    </row>
    <row r="82" spans="1:78" ht="13" customHeight="1">
      <c r="F82" s="556"/>
      <c r="J82" s="556" t="str">
        <f>IF(AB81&gt;0,"FUNDING GAP MUST NOT EXCEED ZERO","")</f>
        <v/>
      </c>
    </row>
    <row r="83" spans="1:78" ht="13" customHeight="1">
      <c r="D83" s="557"/>
    </row>
    <row r="84" spans="1:78" ht="13" customHeight="1" thickBot="1">
      <c r="A84" s="2636"/>
      <c r="B84" s="2636"/>
      <c r="C84" s="2636"/>
      <c r="D84" s="2636"/>
      <c r="E84" s="2636"/>
      <c r="F84" s="2636"/>
      <c r="G84" s="2636"/>
      <c r="H84" s="2636"/>
      <c r="I84" s="2636"/>
      <c r="J84" s="2636"/>
      <c r="K84" s="2636"/>
      <c r="L84" s="2636"/>
      <c r="M84" s="2636"/>
      <c r="N84" s="2636"/>
      <c r="O84" s="2636"/>
      <c r="P84" s="2636"/>
      <c r="Q84" s="2636"/>
      <c r="R84" s="2636"/>
      <c r="S84" s="2636"/>
      <c r="T84" s="2636"/>
      <c r="U84" s="2636"/>
      <c r="V84" s="2636"/>
      <c r="W84" s="2636"/>
      <c r="X84" s="2636"/>
      <c r="Y84" s="2636"/>
      <c r="Z84" s="2636"/>
      <c r="AA84" s="2636"/>
      <c r="AB84" s="2636"/>
      <c r="AC84" s="2636"/>
      <c r="AD84" s="2636"/>
      <c r="AE84" s="2636"/>
      <c r="AF84" s="2636"/>
      <c r="AG84" s="2636"/>
      <c r="AH84" s="2636"/>
      <c r="AI84" s="2636"/>
      <c r="AJ84" s="2636"/>
      <c r="AK84" s="2636"/>
      <c r="AL84" s="2636"/>
      <c r="AM84" s="2636"/>
      <c r="AN84" s="2636"/>
      <c r="AO84" s="2636"/>
      <c r="AP84" s="2636"/>
      <c r="AQ84" s="2636"/>
      <c r="AR84" s="2636"/>
      <c r="AS84" s="2636"/>
      <c r="AT84" s="2636"/>
      <c r="AU84" s="2636"/>
      <c r="AV84" s="2636"/>
      <c r="AW84" s="2636"/>
      <c r="AX84" s="2636"/>
      <c r="AY84" s="2636"/>
      <c r="AZ84" s="2636"/>
      <c r="BA84" s="2636"/>
      <c r="BB84" s="2636"/>
      <c r="BC84" s="2636"/>
      <c r="BD84" s="2636"/>
      <c r="BE84" s="2636"/>
      <c r="BF84" s="2636"/>
      <c r="BG84" s="2636"/>
      <c r="BH84" s="2636"/>
      <c r="BI84" s="2636"/>
      <c r="BJ84" s="2636"/>
      <c r="BK84" s="2636"/>
      <c r="BL84" s="2636"/>
      <c r="BM84" s="2636"/>
      <c r="BN84" s="2636"/>
      <c r="BO84" s="2636"/>
      <c r="BP84" s="2636"/>
      <c r="BQ84" s="2636"/>
      <c r="BR84" s="2636"/>
      <c r="BS84" s="2636"/>
      <c r="BT84" s="2636"/>
      <c r="BU84" s="2636"/>
      <c r="BV84" s="2636"/>
      <c r="BW84" s="2636"/>
      <c r="BX84" s="2636"/>
    </row>
    <row r="85" spans="1:78" ht="13" customHeight="1" thickTop="1"/>
    <row r="86" spans="1:78" ht="13" customHeight="1">
      <c r="A86" s="435"/>
      <c r="C86" s="219"/>
    </row>
    <row r="87" spans="1:78" ht="13" customHeight="1">
      <c r="D87" s="219"/>
      <c r="AB87" s="2668"/>
      <c r="AC87" s="2668"/>
      <c r="AD87" s="2668"/>
      <c r="AE87" s="2668"/>
      <c r="AF87" s="2668"/>
    </row>
    <row r="88" spans="1:78" ht="13" customHeight="1" thickBot="1">
      <c r="D88" s="219"/>
      <c r="AB88" s="2667"/>
      <c r="AC88" s="2667"/>
      <c r="AD88" s="2667"/>
      <c r="AE88" s="2667"/>
      <c r="AF88" s="266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disablePrompts="1"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5" t="s">
        <v>925</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84">
      <c r="A3" s="457" t="s">
        <v>926</v>
      </c>
      <c r="B3" s="457" t="s">
        <v>927</v>
      </c>
      <c r="C3" s="457" t="s">
        <v>2258</v>
      </c>
      <c r="D3" s="1190" t="s">
        <v>928</v>
      </c>
      <c r="E3" s="218"/>
      <c r="F3" s="1190" t="s">
        <v>929</v>
      </c>
      <c r="G3" s="457" t="s">
        <v>930</v>
      </c>
      <c r="H3" s="458"/>
      <c r="I3" s="457" t="s">
        <v>931</v>
      </c>
      <c r="J3" s="457" t="s">
        <v>932</v>
      </c>
      <c r="K3" s="218"/>
      <c r="L3" s="328"/>
    </row>
    <row r="4" spans="1:12">
      <c r="A4" s="459" t="str">
        <f>Application!B718</f>
        <v>SRO/Studio</v>
      </c>
      <c r="B4" s="1121">
        <f>Application!G718</f>
        <v>45</v>
      </c>
      <c r="C4" s="1122"/>
      <c r="D4" s="459">
        <f>Application!O718</f>
        <v>685</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43</v>
      </c>
      <c r="C5" s="1122"/>
      <c r="D5" s="459">
        <f>Application!O719</f>
        <v>1216</v>
      </c>
      <c r="E5" s="460"/>
      <c r="F5" s="1123"/>
      <c r="G5" s="459">
        <f t="shared" ref="G5:G38" si="2">F5*B5</f>
        <v>0</v>
      </c>
      <c r="H5" s="460"/>
      <c r="I5" s="459" t="str">
        <f t="shared" si="0"/>
        <v/>
      </c>
      <c r="J5" s="459" t="str">
        <f t="shared" si="1"/>
        <v/>
      </c>
      <c r="K5" s="218"/>
      <c r="L5" s="328"/>
    </row>
    <row r="6" spans="1:12">
      <c r="A6" s="459" t="str">
        <f>Application!B720</f>
        <v>SRO/Studio</v>
      </c>
      <c r="B6" s="1121">
        <f>Application!G720</f>
        <v>89</v>
      </c>
      <c r="C6" s="1122"/>
      <c r="D6" s="459">
        <f>Application!O720</f>
        <v>1481</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214922</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H1" sqref="H1"/>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2410</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2579064</v>
      </c>
      <c r="G4" s="235">
        <f>E4*$C$4</f>
        <v>2643540.5999999996</v>
      </c>
      <c r="I4" s="235">
        <f>G4*$C$4</f>
        <v>2709629.1149999993</v>
      </c>
      <c r="K4" s="235">
        <f>I4*$C$4</f>
        <v>2777369.8428749992</v>
      </c>
      <c r="M4" s="235">
        <f>K4*$C$4</f>
        <v>2846804.0889468738</v>
      </c>
      <c r="O4" s="235">
        <f>M4*$C$4</f>
        <v>2917974.1911705453</v>
      </c>
      <c r="Q4" s="235">
        <f>O4*$C$4</f>
        <v>2990923.5459498088</v>
      </c>
      <c r="S4" s="235">
        <f>Q4*$C$4</f>
        <v>3065696.6345985536</v>
      </c>
      <c r="U4" s="235">
        <f>S4*$C$4</f>
        <v>3142339.0504635172</v>
      </c>
      <c r="W4" s="235">
        <f>U4*$C$4</f>
        <v>3220897.526725105</v>
      </c>
      <c r="Y4" s="235">
        <f>W4*$C$4</f>
        <v>3301419.9648932326</v>
      </c>
      <c r="AA4" s="235">
        <f>Y4*$C$4</f>
        <v>3383955.464015563</v>
      </c>
      <c r="AC4" s="235">
        <f>AA4*$C$4</f>
        <v>3468554.3506159517</v>
      </c>
      <c r="AE4" s="235">
        <f>AC4*$C$4</f>
        <v>3555268.2093813503</v>
      </c>
      <c r="AG4" s="235">
        <f>AE4*$C$4</f>
        <v>3644149.914615884</v>
      </c>
    </row>
    <row r="5" spans="1:34" s="225" customFormat="1" ht="14">
      <c r="B5" s="225" t="s">
        <v>850</v>
      </c>
      <c r="C5" s="254">
        <f>IF(Application!$D$211="Special Needs",0.1,0.05)</f>
        <v>0.05</v>
      </c>
      <c r="E5" s="237">
        <f>-E4*$C$5</f>
        <v>-128953.20000000001</v>
      </c>
      <c r="F5" s="237"/>
      <c r="G5" s="237">
        <f>-G4*$C$5</f>
        <v>-132177.03</v>
      </c>
      <c r="H5" s="237"/>
      <c r="I5" s="237">
        <f>-I4*$C$5</f>
        <v>-135481.45574999996</v>
      </c>
      <c r="J5" s="237"/>
      <c r="K5" s="237">
        <f>-K4*$C$5</f>
        <v>-138868.49214374996</v>
      </c>
      <c r="L5" s="237"/>
      <c r="M5" s="237">
        <f>-M4*$C$5</f>
        <v>-142340.20444734368</v>
      </c>
      <c r="N5" s="237"/>
      <c r="O5" s="237">
        <f>-O4*$C$5</f>
        <v>-145898.70955852728</v>
      </c>
      <c r="P5" s="237"/>
      <c r="Q5" s="237">
        <f>-Q4*$C$5</f>
        <v>-149546.17729749045</v>
      </c>
      <c r="R5" s="237"/>
      <c r="S5" s="237">
        <f>-S4*$C$5</f>
        <v>-153284.83172992768</v>
      </c>
      <c r="T5" s="237"/>
      <c r="U5" s="237">
        <f>-U4*$C$5</f>
        <v>-157116.95252317586</v>
      </c>
      <c r="V5" s="237"/>
      <c r="W5" s="237">
        <f>-W4*$C$5</f>
        <v>-161044.87633625526</v>
      </c>
      <c r="X5" s="237"/>
      <c r="Y5" s="237">
        <f>-Y4*$C$5</f>
        <v>-165070.99824466163</v>
      </c>
      <c r="Z5" s="237"/>
      <c r="AA5" s="237">
        <f>-AA4*$C$5</f>
        <v>-169197.77320077817</v>
      </c>
      <c r="AB5" s="237"/>
      <c r="AC5" s="237">
        <f>-AC4*$C$5</f>
        <v>-173427.71753079758</v>
      </c>
      <c r="AD5" s="237"/>
      <c r="AE5" s="237">
        <f>-AE4*$C$5</f>
        <v>-177763.41046906752</v>
      </c>
      <c r="AF5" s="237"/>
      <c r="AG5" s="237">
        <f>-AG4*$C$5</f>
        <v>-182207.49573079421</v>
      </c>
    </row>
    <row r="6" spans="1:34" s="225" customFormat="1" ht="14">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17184</v>
      </c>
      <c r="F8" s="238"/>
      <c r="G8" s="238">
        <f>E8*$C$8</f>
        <v>17613.599999999999</v>
      </c>
      <c r="H8" s="238"/>
      <c r="I8" s="238">
        <f>G8*$C$8</f>
        <v>18053.939999999999</v>
      </c>
      <c r="J8" s="238"/>
      <c r="K8" s="238">
        <f>I8*$C$8</f>
        <v>18505.288499999999</v>
      </c>
      <c r="L8" s="238"/>
      <c r="M8" s="238">
        <f>K8*$C$8</f>
        <v>18967.920712499996</v>
      </c>
      <c r="N8" s="238"/>
      <c r="O8" s="238">
        <f>M8*$C$8</f>
        <v>19442.118730312493</v>
      </c>
      <c r="P8" s="238"/>
      <c r="Q8" s="238">
        <f>O8*$C$8</f>
        <v>19928.171698570302</v>
      </c>
      <c r="R8" s="238"/>
      <c r="S8" s="238">
        <f>Q8*$C$8</f>
        <v>20426.375991034558</v>
      </c>
      <c r="T8" s="238"/>
      <c r="U8" s="238">
        <f>S8*$C$8</f>
        <v>20937.035390810419</v>
      </c>
      <c r="V8" s="238"/>
      <c r="W8" s="238">
        <f>U8*$C$8</f>
        <v>21460.461275580677</v>
      </c>
      <c r="X8" s="238"/>
      <c r="Y8" s="238">
        <f>W8*$C$8</f>
        <v>21996.972807470192</v>
      </c>
      <c r="Z8" s="238"/>
      <c r="AA8" s="238">
        <f>Y8*$C$8</f>
        <v>22546.897127656946</v>
      </c>
      <c r="AB8" s="238"/>
      <c r="AC8" s="238">
        <f>AA8*$C$8</f>
        <v>23110.569555848368</v>
      </c>
      <c r="AD8" s="238"/>
      <c r="AE8" s="238">
        <f>AC8*$C$8</f>
        <v>23688.333794744576</v>
      </c>
      <c r="AF8" s="238"/>
      <c r="AG8" s="238">
        <f>AE8*$C$8</f>
        <v>24280.54213961319</v>
      </c>
    </row>
    <row r="9" spans="1:34" s="225" customFormat="1" ht="14">
      <c r="B9" s="225" t="s">
        <v>850</v>
      </c>
      <c r="C9" s="254">
        <f>IF(Application!$D$211="Special Needs",0.1,0.05)</f>
        <v>0.05</v>
      </c>
      <c r="E9" s="237">
        <f>-E8*$C$9</f>
        <v>-859.2</v>
      </c>
      <c r="F9" s="237"/>
      <c r="G9" s="237">
        <f>-G8*$C$9</f>
        <v>-880.68</v>
      </c>
      <c r="H9" s="237"/>
      <c r="I9" s="237">
        <f>-I8*$C$9</f>
        <v>-902.697</v>
      </c>
      <c r="J9" s="237"/>
      <c r="K9" s="237">
        <f>-K8*$C$9</f>
        <v>-925.26442499999996</v>
      </c>
      <c r="L9" s="237"/>
      <c r="M9" s="237">
        <f>-M8*$C$9</f>
        <v>-948.39603562499985</v>
      </c>
      <c r="N9" s="237"/>
      <c r="O9" s="237">
        <f>-O8*$C$9</f>
        <v>-972.10593651562476</v>
      </c>
      <c r="P9" s="237"/>
      <c r="Q9" s="237">
        <f>-Q8*$C$9</f>
        <v>-996.40858492851521</v>
      </c>
      <c r="R9" s="237"/>
      <c r="S9" s="237">
        <f>-S8*$C$9</f>
        <v>-1021.3187995517279</v>
      </c>
      <c r="T9" s="237"/>
      <c r="U9" s="237">
        <f>-U8*$C$9</f>
        <v>-1046.851769540521</v>
      </c>
      <c r="V9" s="237"/>
      <c r="W9" s="237">
        <f>-W8*$C$9</f>
        <v>-1073.0230637790339</v>
      </c>
      <c r="X9" s="237"/>
      <c r="Y9" s="237">
        <f>-Y8*$C$9</f>
        <v>-1099.8486403735096</v>
      </c>
      <c r="Z9" s="237"/>
      <c r="AA9" s="237">
        <f>-AA8*$C$9</f>
        <v>-1127.3448563828474</v>
      </c>
      <c r="AB9" s="237"/>
      <c r="AC9" s="237">
        <f>-AC8*$C$9</f>
        <v>-1155.5284777924185</v>
      </c>
      <c r="AD9" s="237"/>
      <c r="AE9" s="237">
        <f>-AE8*$C$9</f>
        <v>-1184.4166897372288</v>
      </c>
      <c r="AF9" s="237"/>
      <c r="AG9" s="237">
        <f>-AG8*$C$9</f>
        <v>-1214.0271069806595</v>
      </c>
    </row>
    <row r="10" spans="1:34" s="225" customFormat="1" ht="14">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2466435.5999999996</v>
      </c>
      <c r="G11" s="239">
        <f>SUM(G4:G10)</f>
        <v>2528096.4899999998</v>
      </c>
      <c r="I11" s="239">
        <f>SUM(I4:I10)</f>
        <v>2591298.9022499993</v>
      </c>
      <c r="K11" s="239">
        <f>SUM(K4:K10)</f>
        <v>2656081.3748062486</v>
      </c>
      <c r="M11" s="239">
        <f>SUM(M4:M10)</f>
        <v>2722483.4091764051</v>
      </c>
      <c r="O11" s="239">
        <f>SUM(O4:O10)</f>
        <v>2790545.4944058149</v>
      </c>
      <c r="Q11" s="239">
        <f>SUM(Q4:Q10)</f>
        <v>2860309.1317659598</v>
      </c>
      <c r="S11" s="239">
        <f>SUM(S4:S10)</f>
        <v>2931816.8600601093</v>
      </c>
      <c r="U11" s="239">
        <f>SUM(U4:U10)</f>
        <v>3005112.2815616117</v>
      </c>
      <c r="W11" s="239">
        <f>SUM(W4:W10)</f>
        <v>3080240.0886006518</v>
      </c>
      <c r="Y11" s="239">
        <f>SUM(Y4:Y10)</f>
        <v>3157246.0908156675</v>
      </c>
      <c r="AA11" s="239">
        <f>SUM(AA4:AA10)</f>
        <v>3236177.2430860586</v>
      </c>
      <c r="AC11" s="239">
        <f>SUM(AC4:AC10)</f>
        <v>3317081.6741632097</v>
      </c>
      <c r="AE11" s="239">
        <f>SUM(AE4:AE10)</f>
        <v>3400008.7160172905</v>
      </c>
      <c r="AG11" s="239">
        <f>SUM(AG4:AG10)</f>
        <v>3485008.9339177222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106728</v>
      </c>
      <c r="G15" s="235">
        <f>E15*$C$14</f>
        <v>110463.48</v>
      </c>
      <c r="I15" s="235">
        <f>G15*$C$14</f>
        <v>114329.70179999998</v>
      </c>
      <c r="K15" s="235">
        <f>I15*$C$14</f>
        <v>118331.24136299996</v>
      </c>
      <c r="M15" s="235">
        <f>K15*$C$14</f>
        <v>122472.83481070495</v>
      </c>
      <c r="O15" s="235">
        <f>M15*$C$14</f>
        <v>126759.38402907962</v>
      </c>
      <c r="Q15" s="235">
        <f>O15*$C$14</f>
        <v>131195.96247009741</v>
      </c>
      <c r="S15" s="235">
        <f>Q15*$C$14</f>
        <v>135787.82115655081</v>
      </c>
      <c r="U15" s="235">
        <f>S15*$C$14</f>
        <v>140540.39489703008</v>
      </c>
      <c r="W15" s="235">
        <f>U15*$C$14</f>
        <v>145459.30871842612</v>
      </c>
      <c r="Y15" s="235">
        <f>W15*$C$14</f>
        <v>150550.38452357103</v>
      </c>
      <c r="AA15" s="235">
        <f>Y15*$C$14</f>
        <v>155819.64798189601</v>
      </c>
      <c r="AC15" s="235">
        <f>AA15*$C$14</f>
        <v>161273.33566126236</v>
      </c>
      <c r="AE15" s="235">
        <f>AC15*$C$14</f>
        <v>166917.90240940652</v>
      </c>
      <c r="AG15" s="235">
        <f>AE15*$C$14</f>
        <v>172760.02899373573</v>
      </c>
    </row>
    <row r="16" spans="1:34" s="225" customFormat="1" ht="14">
      <c r="A16" s="225" t="s">
        <v>345</v>
      </c>
      <c r="C16" s="249"/>
      <c r="E16" s="238">
        <f>Application!W849</f>
        <v>180534</v>
      </c>
      <c r="F16" s="238"/>
      <c r="G16" s="238">
        <f t="shared" ref="G16:AG21" si="0">E16*$C$14</f>
        <v>186852.68999999997</v>
      </c>
      <c r="H16" s="238"/>
      <c r="I16" s="238">
        <f t="shared" si="0"/>
        <v>193392.53414999996</v>
      </c>
      <c r="J16" s="238"/>
      <c r="K16" s="238">
        <f t="shared" si="0"/>
        <v>200161.27284524994</v>
      </c>
      <c r="L16" s="238"/>
      <c r="M16" s="238">
        <f t="shared" si="0"/>
        <v>207166.91739483367</v>
      </c>
      <c r="N16" s="238"/>
      <c r="O16" s="238">
        <f t="shared" si="0"/>
        <v>214417.75950365284</v>
      </c>
      <c r="P16" s="238"/>
      <c r="Q16" s="238">
        <f t="shared" si="0"/>
        <v>221922.38108628066</v>
      </c>
      <c r="R16" s="238"/>
      <c r="S16" s="238">
        <f t="shared" si="0"/>
        <v>229689.66442430046</v>
      </c>
      <c r="T16" s="238"/>
      <c r="U16" s="238">
        <f t="shared" si="0"/>
        <v>237728.80267915095</v>
      </c>
      <c r="V16" s="238"/>
      <c r="W16" s="238">
        <f t="shared" si="0"/>
        <v>246049.31077292122</v>
      </c>
      <c r="X16" s="238"/>
      <c r="Y16" s="238">
        <f t="shared" si="0"/>
        <v>254661.03664997345</v>
      </c>
      <c r="Z16" s="238"/>
      <c r="AA16" s="238">
        <f t="shared" si="0"/>
        <v>263574.17293272249</v>
      </c>
      <c r="AB16" s="238"/>
      <c r="AC16" s="238">
        <f t="shared" si="0"/>
        <v>272799.26898536773</v>
      </c>
      <c r="AD16" s="238"/>
      <c r="AE16" s="238">
        <f t="shared" si="0"/>
        <v>282347.24339985556</v>
      </c>
      <c r="AF16" s="238"/>
      <c r="AG16" s="238">
        <f t="shared" si="0"/>
        <v>292229.39691885049</v>
      </c>
    </row>
    <row r="17" spans="1:33" s="225" customFormat="1" ht="14">
      <c r="A17" s="225" t="s">
        <v>570</v>
      </c>
      <c r="C17" s="249"/>
      <c r="E17" s="238">
        <f>Application!W855</f>
        <v>204908</v>
      </c>
      <c r="F17" s="238"/>
      <c r="G17" s="238">
        <f t="shared" si="0"/>
        <v>212079.77999999997</v>
      </c>
      <c r="H17" s="238"/>
      <c r="I17" s="238">
        <f t="shared" si="0"/>
        <v>219502.57229999994</v>
      </c>
      <c r="J17" s="238"/>
      <c r="K17" s="238">
        <f t="shared" si="0"/>
        <v>227185.16233049991</v>
      </c>
      <c r="L17" s="238"/>
      <c r="M17" s="238">
        <f t="shared" si="0"/>
        <v>235136.64301206739</v>
      </c>
      <c r="N17" s="238"/>
      <c r="O17" s="238">
        <f t="shared" si="0"/>
        <v>243366.42551748973</v>
      </c>
      <c r="P17" s="238"/>
      <c r="Q17" s="238">
        <f t="shared" si="0"/>
        <v>251884.25041060185</v>
      </c>
      <c r="R17" s="238"/>
      <c r="S17" s="238">
        <f t="shared" si="0"/>
        <v>260700.19917497289</v>
      </c>
      <c r="T17" s="238"/>
      <c r="U17" s="238">
        <f t="shared" si="0"/>
        <v>269824.70614609693</v>
      </c>
      <c r="V17" s="238"/>
      <c r="W17" s="238">
        <f t="shared" si="0"/>
        <v>279268.57086121029</v>
      </c>
      <c r="X17" s="238"/>
      <c r="Y17" s="238">
        <f t="shared" si="0"/>
        <v>289042.97084135265</v>
      </c>
      <c r="Z17" s="238"/>
      <c r="AA17" s="238">
        <f t="shared" si="0"/>
        <v>299159.47482079995</v>
      </c>
      <c r="AB17" s="238"/>
      <c r="AC17" s="238">
        <f t="shared" si="0"/>
        <v>309630.05643952795</v>
      </c>
      <c r="AD17" s="238"/>
      <c r="AE17" s="238">
        <f t="shared" si="0"/>
        <v>320467.10841491143</v>
      </c>
      <c r="AF17" s="238"/>
      <c r="AG17" s="238">
        <f t="shared" si="0"/>
        <v>331683.45720943331</v>
      </c>
    </row>
    <row r="18" spans="1:33" s="225" customFormat="1" ht="14">
      <c r="A18" s="225" t="s">
        <v>854</v>
      </c>
      <c r="C18" s="249"/>
      <c r="E18" s="238">
        <f>Application!W862</f>
        <v>436000</v>
      </c>
      <c r="F18" s="238"/>
      <c r="G18" s="238">
        <f t="shared" si="0"/>
        <v>451259.99999999994</v>
      </c>
      <c r="H18" s="238"/>
      <c r="I18" s="238">
        <f t="shared" si="0"/>
        <v>467054.09999999992</v>
      </c>
      <c r="J18" s="238"/>
      <c r="K18" s="238">
        <f t="shared" si="0"/>
        <v>483400.99349999987</v>
      </c>
      <c r="L18" s="238"/>
      <c r="M18" s="238">
        <f t="shared" si="0"/>
        <v>500320.0282724998</v>
      </c>
      <c r="N18" s="238"/>
      <c r="O18" s="238">
        <f t="shared" si="0"/>
        <v>517831.22926203726</v>
      </c>
      <c r="P18" s="238"/>
      <c r="Q18" s="238">
        <f t="shared" si="0"/>
        <v>535955.32228620851</v>
      </c>
      <c r="R18" s="238"/>
      <c r="S18" s="238">
        <f t="shared" si="0"/>
        <v>554713.75856622576</v>
      </c>
      <c r="T18" s="238"/>
      <c r="U18" s="238">
        <f t="shared" si="0"/>
        <v>574128.7401160436</v>
      </c>
      <c r="V18" s="238"/>
      <c r="W18" s="238">
        <f t="shared" si="0"/>
        <v>594223.24602010509</v>
      </c>
      <c r="X18" s="238"/>
      <c r="Y18" s="238">
        <f t="shared" si="0"/>
        <v>615021.05963080877</v>
      </c>
      <c r="Z18" s="238"/>
      <c r="AA18" s="238">
        <f t="shared" si="0"/>
        <v>636546.79671788705</v>
      </c>
      <c r="AB18" s="238"/>
      <c r="AC18" s="238">
        <f t="shared" si="0"/>
        <v>658825.9346030131</v>
      </c>
      <c r="AD18" s="238"/>
      <c r="AE18" s="238">
        <f t="shared" si="0"/>
        <v>681884.84231411852</v>
      </c>
      <c r="AF18" s="238"/>
      <c r="AG18" s="238">
        <f t="shared" si="0"/>
        <v>705750.81179511256</v>
      </c>
    </row>
    <row r="19" spans="1:33" s="225" customFormat="1" ht="14">
      <c r="A19" s="225" t="s">
        <v>155</v>
      </c>
      <c r="C19" s="249"/>
      <c r="E19" s="238">
        <f>Application!W863</f>
        <v>135000</v>
      </c>
      <c r="F19" s="238"/>
      <c r="G19" s="238">
        <f t="shared" si="0"/>
        <v>139725</v>
      </c>
      <c r="H19" s="238"/>
      <c r="I19" s="238">
        <f t="shared" si="0"/>
        <v>144615.375</v>
      </c>
      <c r="J19" s="238"/>
      <c r="K19" s="238">
        <f t="shared" si="0"/>
        <v>149676.91312499999</v>
      </c>
      <c r="L19" s="238"/>
      <c r="M19" s="238">
        <f t="shared" si="0"/>
        <v>154915.60508437498</v>
      </c>
      <c r="N19" s="238"/>
      <c r="O19" s="238">
        <f t="shared" si="0"/>
        <v>160337.65126232809</v>
      </c>
      <c r="P19" s="238"/>
      <c r="Q19" s="238">
        <f t="shared" si="0"/>
        <v>165949.46905650955</v>
      </c>
      <c r="R19" s="238"/>
      <c r="S19" s="238">
        <f t="shared" si="0"/>
        <v>171757.70047348738</v>
      </c>
      <c r="T19" s="238"/>
      <c r="U19" s="238">
        <f t="shared" si="0"/>
        <v>177769.21999005941</v>
      </c>
      <c r="V19" s="238"/>
      <c r="W19" s="238">
        <f t="shared" si="0"/>
        <v>183991.14268971147</v>
      </c>
      <c r="X19" s="238"/>
      <c r="Y19" s="238">
        <f t="shared" si="0"/>
        <v>190430.83268385136</v>
      </c>
      <c r="Z19" s="238"/>
      <c r="AA19" s="238">
        <f t="shared" si="0"/>
        <v>197095.91182778616</v>
      </c>
      <c r="AB19" s="238"/>
      <c r="AC19" s="238">
        <f t="shared" si="0"/>
        <v>203994.26874175866</v>
      </c>
      <c r="AD19" s="238"/>
      <c r="AE19" s="238">
        <f t="shared" si="0"/>
        <v>211134.06814772019</v>
      </c>
      <c r="AF19" s="238"/>
      <c r="AG19" s="238">
        <f t="shared" si="0"/>
        <v>218523.76053289039</v>
      </c>
    </row>
    <row r="20" spans="1:33" s="225" customFormat="1" ht="14">
      <c r="A20" s="225" t="s">
        <v>391</v>
      </c>
      <c r="C20" s="249"/>
      <c r="E20" s="238">
        <f>Application!W872</f>
        <v>149904</v>
      </c>
      <c r="F20" s="238"/>
      <c r="G20" s="238">
        <f t="shared" si="0"/>
        <v>155150.63999999998</v>
      </c>
      <c r="H20" s="238"/>
      <c r="I20" s="238">
        <f t="shared" si="0"/>
        <v>160580.91239999997</v>
      </c>
      <c r="J20" s="238"/>
      <c r="K20" s="238">
        <f t="shared" si="0"/>
        <v>166201.24433399996</v>
      </c>
      <c r="L20" s="238"/>
      <c r="M20" s="238">
        <f t="shared" si="0"/>
        <v>172018.28788568993</v>
      </c>
      <c r="N20" s="238"/>
      <c r="O20" s="238">
        <f t="shared" si="0"/>
        <v>178038.92796168907</v>
      </c>
      <c r="P20" s="238"/>
      <c r="Q20" s="238">
        <f t="shared" si="0"/>
        <v>184270.29044034818</v>
      </c>
      <c r="R20" s="238"/>
      <c r="S20" s="238">
        <f t="shared" si="0"/>
        <v>190719.75060576035</v>
      </c>
      <c r="T20" s="238"/>
      <c r="U20" s="238">
        <f t="shared" si="0"/>
        <v>197394.94187696194</v>
      </c>
      <c r="V20" s="238"/>
      <c r="W20" s="238">
        <f t="shared" si="0"/>
        <v>204303.7648426556</v>
      </c>
      <c r="X20" s="238"/>
      <c r="Y20" s="238">
        <f t="shared" si="0"/>
        <v>211454.39661214853</v>
      </c>
      <c r="Z20" s="238"/>
      <c r="AA20" s="238">
        <f t="shared" si="0"/>
        <v>218855.30049357371</v>
      </c>
      <c r="AB20" s="238"/>
      <c r="AC20" s="238">
        <f t="shared" si="0"/>
        <v>226515.23601084878</v>
      </c>
      <c r="AD20" s="238"/>
      <c r="AE20" s="238">
        <f t="shared" si="0"/>
        <v>234443.26927122846</v>
      </c>
      <c r="AF20" s="238"/>
      <c r="AG20" s="238">
        <f t="shared" si="0"/>
        <v>242648.78369572145</v>
      </c>
    </row>
    <row r="21" spans="1:33" s="225" customFormat="1" ht="14">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855</v>
      </c>
      <c r="C22" s="249"/>
      <c r="E22" s="239">
        <f>SUM(E15:E21)</f>
        <v>1213074</v>
      </c>
      <c r="G22" s="239">
        <f>SUM(G15:G21)</f>
        <v>1255531.5899999999</v>
      </c>
      <c r="I22" s="239">
        <f>SUM(I15:I21)</f>
        <v>1299475.1956499999</v>
      </c>
      <c r="K22" s="239">
        <f>SUM(K15:K21)</f>
        <v>1344956.8274977496</v>
      </c>
      <c r="M22" s="239">
        <f>SUM(M15:M21)</f>
        <v>1392030.3164601706</v>
      </c>
      <c r="O22" s="239">
        <f>SUM(O15:O21)</f>
        <v>1440751.3775362764</v>
      </c>
      <c r="Q22" s="239">
        <f>SUM(Q15:Q21)</f>
        <v>1491177.6757500463</v>
      </c>
      <c r="S22" s="239">
        <f>SUM(S15:S21)</f>
        <v>1543368.8944012977</v>
      </c>
      <c r="U22" s="239">
        <f>SUM(U15:U21)</f>
        <v>1597386.8057053429</v>
      </c>
      <c r="W22" s="239">
        <f>SUM(W15:W21)</f>
        <v>1653295.3439050298</v>
      </c>
      <c r="Y22" s="239">
        <f>SUM(Y15:Y21)</f>
        <v>1711160.6809417058</v>
      </c>
      <c r="AA22" s="239">
        <f>SUM(AA15:AA21)</f>
        <v>1771051.3047746655</v>
      </c>
      <c r="AC22" s="239">
        <f>SUM(AC15:AC21)</f>
        <v>1833038.1004417788</v>
      </c>
      <c r="AE22" s="239">
        <f>SUM(AE15:AE21)</f>
        <v>1897194.4339572405</v>
      </c>
      <c r="AG22" s="239">
        <f>SUM(AG15:AG21)</f>
        <v>1963596.2391457441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25000</v>
      </c>
      <c r="F27" s="238"/>
      <c r="G27" s="238">
        <f>E27*$C$27</f>
        <v>25874.999999999996</v>
      </c>
      <c r="H27" s="238"/>
      <c r="I27" s="238">
        <f>G27*$C$27</f>
        <v>26780.624999999993</v>
      </c>
      <c r="J27" s="238"/>
      <c r="K27" s="238">
        <f>I27*$C$27</f>
        <v>27717.946874999991</v>
      </c>
      <c r="L27" s="238"/>
      <c r="M27" s="238">
        <f>K27*$C$27</f>
        <v>28688.075015624989</v>
      </c>
      <c r="N27" s="238"/>
      <c r="O27" s="238">
        <f>M27*$C$27</f>
        <v>29692.15764117186</v>
      </c>
      <c r="P27" s="238"/>
      <c r="Q27" s="238">
        <f>O27*$C$27</f>
        <v>30731.383158612873</v>
      </c>
      <c r="R27" s="238"/>
      <c r="S27" s="238">
        <f>Q27*$C$27</f>
        <v>31806.98156916432</v>
      </c>
      <c r="T27" s="238"/>
      <c r="U27" s="238">
        <f>S27*$C$27</f>
        <v>32920.225924085069</v>
      </c>
      <c r="V27" s="238"/>
      <c r="W27" s="238">
        <f>U27*$C$27</f>
        <v>34072.433831428047</v>
      </c>
      <c r="X27" s="238"/>
      <c r="Y27" s="238">
        <f>W27*$C$27</f>
        <v>35264.969015528026</v>
      </c>
      <c r="Z27" s="238"/>
      <c r="AA27" s="238">
        <f>Y27*$C$27</f>
        <v>36499.242931071502</v>
      </c>
      <c r="AB27" s="238"/>
      <c r="AC27" s="238">
        <f>AA27*$C$27</f>
        <v>37776.716433658999</v>
      </c>
      <c r="AD27" s="238"/>
      <c r="AE27" s="238">
        <f>AC27*$C$27</f>
        <v>39098.901508837058</v>
      </c>
      <c r="AF27" s="238"/>
      <c r="AG27" s="238">
        <f>AE27*$C$27</f>
        <v>40467.363061646349</v>
      </c>
    </row>
    <row r="28" spans="1:33" s="225" customFormat="1" ht="14">
      <c r="A28" s="225" t="s">
        <v>858</v>
      </c>
      <c r="C28" s="253"/>
      <c r="E28" s="238">
        <f>Application!AC889</f>
        <v>89500</v>
      </c>
      <c r="F28" s="238"/>
      <c r="G28" s="238">
        <f>$E$28</f>
        <v>89500</v>
      </c>
      <c r="H28" s="238"/>
      <c r="I28" s="238">
        <f>$E$28</f>
        <v>89500</v>
      </c>
      <c r="J28" s="238"/>
      <c r="K28" s="238">
        <f>$E$28</f>
        <v>89500</v>
      </c>
      <c r="L28" s="238"/>
      <c r="M28" s="238">
        <f>$E$28</f>
        <v>89500</v>
      </c>
      <c r="N28" s="238"/>
      <c r="O28" s="238">
        <f>$E$28</f>
        <v>89500</v>
      </c>
      <c r="P28" s="238"/>
      <c r="Q28" s="238">
        <f>$E$28</f>
        <v>89500</v>
      </c>
      <c r="R28" s="238"/>
      <c r="S28" s="238">
        <f>$E$28</f>
        <v>89500</v>
      </c>
      <c r="T28" s="238"/>
      <c r="U28" s="238">
        <f>$E$28</f>
        <v>89500</v>
      </c>
      <c r="V28" s="238"/>
      <c r="W28" s="238">
        <f>$E$28</f>
        <v>89500</v>
      </c>
      <c r="X28" s="238"/>
      <c r="Y28" s="238">
        <f>$E$28</f>
        <v>89500</v>
      </c>
      <c r="Z28" s="238"/>
      <c r="AA28" s="238">
        <f>$E$28</f>
        <v>89500</v>
      </c>
      <c r="AB28" s="238"/>
      <c r="AC28" s="238">
        <f>$E$28</f>
        <v>89500</v>
      </c>
      <c r="AD28" s="238"/>
      <c r="AE28" s="238">
        <f>$E$28</f>
        <v>89500</v>
      </c>
      <c r="AF28" s="238"/>
      <c r="AG28" s="238">
        <f>$E$28</f>
        <v>89500</v>
      </c>
    </row>
    <row r="29" spans="1:33" s="225" customFormat="1" ht="14">
      <c r="A29" s="225" t="s">
        <v>1869</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856</v>
      </c>
      <c r="C30" s="253">
        <v>1.02</v>
      </c>
      <c r="E30" s="238">
        <f>Application!AC891</f>
        <v>3000</v>
      </c>
      <c r="F30" s="238"/>
      <c r="G30" s="238">
        <f>E30*$C$30</f>
        <v>3060</v>
      </c>
      <c r="H30" s="238"/>
      <c r="I30" s="238">
        <f>G30*$C$30</f>
        <v>3121.2000000000003</v>
      </c>
      <c r="J30" s="238"/>
      <c r="K30" s="238">
        <f>I30*$C$30</f>
        <v>3183.6240000000003</v>
      </c>
      <c r="L30" s="238"/>
      <c r="M30" s="238">
        <f>K30*$C$30</f>
        <v>3247.2964800000004</v>
      </c>
      <c r="N30" s="238"/>
      <c r="O30" s="238">
        <f>M30*$C$30</f>
        <v>3312.2424096000004</v>
      </c>
      <c r="P30" s="238"/>
      <c r="Q30" s="238">
        <f>O30*$C$30</f>
        <v>3378.4872577920005</v>
      </c>
      <c r="R30" s="238"/>
      <c r="S30" s="238">
        <f>Q30*$C$30</f>
        <v>3446.0570029478404</v>
      </c>
      <c r="T30" s="238"/>
      <c r="U30" s="238">
        <f>S30*$C$30</f>
        <v>3514.9781430067974</v>
      </c>
      <c r="V30" s="238"/>
      <c r="W30" s="238">
        <f>U30*$C$30</f>
        <v>3585.2777058669335</v>
      </c>
      <c r="X30" s="238"/>
      <c r="Y30" s="238">
        <f>W30*$C$30</f>
        <v>3656.9832599842721</v>
      </c>
      <c r="Z30" s="238"/>
      <c r="AA30" s="238">
        <f>Y30*$C$30</f>
        <v>3730.1229251839577</v>
      </c>
      <c r="AB30" s="238"/>
      <c r="AC30" s="238">
        <f>AA30*$C$30</f>
        <v>3804.7253836876371</v>
      </c>
      <c r="AD30" s="238"/>
      <c r="AE30" s="238">
        <f>AC30*$C$30</f>
        <v>3880.8198913613901</v>
      </c>
      <c r="AF30" s="238"/>
      <c r="AG30" s="238">
        <f>AE30*$C$30</f>
        <v>3958.436289188618</v>
      </c>
    </row>
    <row r="31" spans="1:33" s="225" customFormat="1" ht="14">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(Issuer Fees):</v>
      </c>
      <c r="C32" s="340">
        <v>1.0349999999999999</v>
      </c>
      <c r="E32" s="238">
        <f>Application!AC893</f>
        <v>5791</v>
      </c>
      <c r="F32" s="238"/>
      <c r="G32" s="238">
        <f>E32*$C$32</f>
        <v>5993.6849999999995</v>
      </c>
      <c r="H32" s="238"/>
      <c r="I32" s="238">
        <f>G32*$C$32</f>
        <v>6203.4639749999988</v>
      </c>
      <c r="J32" s="238"/>
      <c r="K32" s="238">
        <f>I32*$C$32</f>
        <v>6420.5852141249979</v>
      </c>
      <c r="L32" s="238"/>
      <c r="M32" s="238">
        <f>K32*$C$32</f>
        <v>6645.3056966193726</v>
      </c>
      <c r="N32" s="238"/>
      <c r="O32" s="238">
        <f>M32*$C$32</f>
        <v>6877.8913960010505</v>
      </c>
      <c r="P32" s="238"/>
      <c r="Q32" s="238">
        <f>O32*$C$32</f>
        <v>7118.6175948610862</v>
      </c>
      <c r="R32" s="238"/>
      <c r="S32" s="238">
        <f>Q32*$C$32</f>
        <v>7367.7692106812237</v>
      </c>
      <c r="T32" s="238"/>
      <c r="U32" s="238">
        <f>S32*$C$32</f>
        <v>7625.6411330550663</v>
      </c>
      <c r="V32" s="238"/>
      <c r="W32" s="238">
        <f>U32*$C$32</f>
        <v>7892.5385727119929</v>
      </c>
      <c r="X32" s="238"/>
      <c r="Y32" s="238">
        <f>W32*$C$32</f>
        <v>8168.7774227569116</v>
      </c>
      <c r="Z32" s="238"/>
      <c r="AA32" s="238">
        <f>Y32*$C$32</f>
        <v>8454.6846325534025</v>
      </c>
      <c r="AB32" s="238"/>
      <c r="AC32" s="238">
        <f>AA32*$C$32</f>
        <v>8750.5985946927703</v>
      </c>
      <c r="AD32" s="238"/>
      <c r="AE32" s="238">
        <f>AC32*$C$32</f>
        <v>9056.8695455070174</v>
      </c>
      <c r="AF32" s="238"/>
      <c r="AG32" s="238">
        <f>AE32*$C$32</f>
        <v>9373.8599795997616</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1336365</v>
      </c>
      <c r="G35" s="239">
        <f>SUM(G22:G33)</f>
        <v>1379960.2749999999</v>
      </c>
      <c r="I35" s="239">
        <f>SUM(I22:I33)</f>
        <v>1425080.4846249998</v>
      </c>
      <c r="K35" s="239">
        <f>SUM(K22:K33)</f>
        <v>1471778.9835868746</v>
      </c>
      <c r="M35" s="239">
        <f>SUM(M22:M33)</f>
        <v>1520110.993652415</v>
      </c>
      <c r="O35" s="239">
        <f>SUM(O22:O33)</f>
        <v>1570133.6689830492</v>
      </c>
      <c r="Q35" s="239">
        <f>SUM(Q22:Q33)</f>
        <v>1621906.1637613121</v>
      </c>
      <c r="S35" s="239">
        <f>SUM(S22:S33)</f>
        <v>1675489.7021840913</v>
      </c>
      <c r="U35" s="239">
        <f>SUM(U22:U33)</f>
        <v>1730947.6509054899</v>
      </c>
      <c r="W35" s="239">
        <f>SUM(W22:W33)</f>
        <v>1788345.5940150367</v>
      </c>
      <c r="Y35" s="239">
        <f>SUM(Y22:Y33)</f>
        <v>1847751.410639975</v>
      </c>
      <c r="AA35" s="239">
        <f>SUM(AA22:AA33)</f>
        <v>1909235.3552634744</v>
      </c>
      <c r="AC35" s="239">
        <f>SUM(AC22:AC33)</f>
        <v>1972870.140853818</v>
      </c>
      <c r="AE35" s="239">
        <f>SUM(AE22:AE33)</f>
        <v>2038731.0249029459</v>
      </c>
      <c r="AG35" s="239">
        <f>SUM(AG22:AG33)</f>
        <v>2106895.8984761788</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1130070.5999999996</v>
      </c>
      <c r="G37" s="239">
        <f>G11-G35</f>
        <v>1148136.2149999999</v>
      </c>
      <c r="I37" s="239">
        <f>I11-I35</f>
        <v>1166218.4176249995</v>
      </c>
      <c r="K37" s="239">
        <f>K11-K35</f>
        <v>1184302.391219374</v>
      </c>
      <c r="M37" s="239">
        <f>M11-M35</f>
        <v>1202372.4155239901</v>
      </c>
      <c r="O37" s="239">
        <f>O11-O35</f>
        <v>1220411.8254227657</v>
      </c>
      <c r="Q37" s="239">
        <f>Q11-Q35</f>
        <v>1238402.9680046476</v>
      </c>
      <c r="S37" s="239">
        <f>S11-S35</f>
        <v>1256327.157876018</v>
      </c>
      <c r="U37" s="239">
        <f>U11-U35</f>
        <v>1274164.6306561218</v>
      </c>
      <c r="W37" s="239">
        <f>W11-W35</f>
        <v>1291894.4945856151</v>
      </c>
      <c r="Y37" s="239">
        <f>Y11-Y35</f>
        <v>1309494.6801756925</v>
      </c>
      <c r="AA37" s="239">
        <f>AA11-AA35</f>
        <v>1326941.8878225842</v>
      </c>
      <c r="AC37" s="239">
        <f>AC11-AC35</f>
        <v>1344211.5333093917</v>
      </c>
      <c r="AE37" s="239">
        <f>AE11-AE35</f>
        <v>1361277.6911143446</v>
      </c>
      <c r="AG37" s="239">
        <f>AG11-AG35</f>
        <v>1378113.0354415434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 Community Capital</v>
      </c>
      <c r="B40" s="242"/>
      <c r="C40" s="236"/>
      <c r="E40" s="238">
        <f>Application!AF627</f>
        <v>833430</v>
      </c>
      <c r="F40" s="238"/>
      <c r="G40" s="238">
        <f>$E$40</f>
        <v>833430</v>
      </c>
      <c r="H40" s="238"/>
      <c r="I40" s="238">
        <f>$E$40</f>
        <v>833430</v>
      </c>
      <c r="J40" s="238"/>
      <c r="K40" s="238">
        <f>$E$40</f>
        <v>833430</v>
      </c>
      <c r="L40" s="238"/>
      <c r="M40" s="238">
        <f>$E$40</f>
        <v>833430</v>
      </c>
      <c r="N40" s="238"/>
      <c r="O40" s="238">
        <f>$E$40</f>
        <v>833430</v>
      </c>
      <c r="P40" s="238"/>
      <c r="Q40" s="238">
        <f>$E$40</f>
        <v>833430</v>
      </c>
      <c r="R40" s="238"/>
      <c r="S40" s="238">
        <f>$E$40</f>
        <v>833430</v>
      </c>
      <c r="T40" s="238"/>
      <c r="U40" s="238">
        <f>$E$40</f>
        <v>833430</v>
      </c>
      <c r="V40" s="238"/>
      <c r="W40" s="238">
        <f>$E$40</f>
        <v>833430</v>
      </c>
      <c r="X40" s="238"/>
      <c r="Y40" s="238">
        <f>$E$40</f>
        <v>833430</v>
      </c>
      <c r="Z40" s="238"/>
      <c r="AA40" s="238">
        <f>$E$40</f>
        <v>833430</v>
      </c>
      <c r="AB40" s="238"/>
      <c r="AC40" s="238">
        <f>$E$40</f>
        <v>833430</v>
      </c>
      <c r="AD40" s="238"/>
      <c r="AE40" s="238">
        <f>$E$40</f>
        <v>833430</v>
      </c>
      <c r="AF40" s="238"/>
      <c r="AG40" s="238">
        <f>$E$40</f>
        <v>833430</v>
      </c>
    </row>
    <row r="41" spans="1:33" s="225" customFormat="1" ht="14">
      <c r="A41" s="241" t="s">
        <v>2758</v>
      </c>
      <c r="B41" s="242"/>
      <c r="C41" s="236"/>
      <c r="E41" s="238">
        <f>Application!AF628</f>
        <v>147000</v>
      </c>
      <c r="F41" s="238"/>
      <c r="G41" s="238">
        <f>$E$41</f>
        <v>147000</v>
      </c>
      <c r="H41" s="238"/>
      <c r="I41" s="238">
        <f>$E$41</f>
        <v>147000</v>
      </c>
      <c r="J41" s="238"/>
      <c r="K41" s="238">
        <f>$E$41</f>
        <v>147000</v>
      </c>
      <c r="L41" s="238"/>
      <c r="M41" s="238">
        <f>$E$41</f>
        <v>147000</v>
      </c>
      <c r="N41" s="238"/>
      <c r="O41" s="238">
        <f>$E$41</f>
        <v>147000</v>
      </c>
      <c r="P41" s="238"/>
      <c r="Q41" s="238">
        <f>$E$41</f>
        <v>147000</v>
      </c>
      <c r="R41" s="238"/>
      <c r="S41" s="238">
        <f>$E$41</f>
        <v>147000</v>
      </c>
      <c r="T41" s="238"/>
      <c r="U41" s="238">
        <f>$E$41</f>
        <v>147000</v>
      </c>
      <c r="V41" s="238"/>
      <c r="W41" s="238">
        <f>$E$41</f>
        <v>147000</v>
      </c>
      <c r="X41" s="238"/>
      <c r="Y41" s="238">
        <f>$E$41</f>
        <v>147000</v>
      </c>
      <c r="Z41" s="238"/>
      <c r="AA41" s="238">
        <f>$E$41</f>
        <v>147000</v>
      </c>
      <c r="AB41" s="238"/>
      <c r="AC41" s="238">
        <f>$E$41</f>
        <v>147000</v>
      </c>
      <c r="AD41" s="238"/>
      <c r="AE41" s="238">
        <f>$E$41</f>
        <v>147000</v>
      </c>
      <c r="AF41" s="238"/>
      <c r="AG41" s="238">
        <f>$E$41</f>
        <v>147000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980430</v>
      </c>
      <c r="G43" s="239">
        <f>SUM(G40:G42)</f>
        <v>980430</v>
      </c>
      <c r="I43" s="239">
        <f>SUM(I40:I42)</f>
        <v>980430</v>
      </c>
      <c r="K43" s="239">
        <f>SUM(K40:K42)</f>
        <v>980430</v>
      </c>
      <c r="M43" s="239">
        <f>SUM(M40:M42)</f>
        <v>980430</v>
      </c>
      <c r="O43" s="239">
        <f>SUM(O40:O42)</f>
        <v>980430</v>
      </c>
      <c r="Q43" s="239">
        <f>SUM(Q40:Q42)</f>
        <v>980430</v>
      </c>
      <c r="S43" s="239">
        <f>SUM(S40:S42)</f>
        <v>980430</v>
      </c>
      <c r="U43" s="239">
        <f>SUM(U40:U42)</f>
        <v>980430</v>
      </c>
      <c r="W43" s="239">
        <f>SUM(W40:W42)</f>
        <v>980430</v>
      </c>
      <c r="Y43" s="239">
        <f>SUM(Y40:Y42)</f>
        <v>980430</v>
      </c>
      <c r="AA43" s="239">
        <f>SUM(AA40:AA42)</f>
        <v>980430</v>
      </c>
      <c r="AC43" s="239">
        <f>SUM(AC40:AC42)</f>
        <v>980430</v>
      </c>
      <c r="AE43" s="239">
        <f>SUM(AE40:AE42)</f>
        <v>980430</v>
      </c>
      <c r="AG43" s="239">
        <f>SUM(AG40:AG42)</f>
        <v>980430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149640.59999999963</v>
      </c>
      <c r="G45" s="239">
        <f>G37-G43</f>
        <v>167706.21499999985</v>
      </c>
      <c r="I45" s="239">
        <f>I37-I43</f>
        <v>185788.41762499954</v>
      </c>
      <c r="K45" s="239">
        <f>K37-K43</f>
        <v>203872.39121937403</v>
      </c>
      <c r="M45" s="239">
        <f>M37-M43</f>
        <v>221942.41552399006</v>
      </c>
      <c r="O45" s="239">
        <f>O37-O43</f>
        <v>239981.82542276569</v>
      </c>
      <c r="Q45" s="239">
        <f>Q37-Q43</f>
        <v>257972.96800464764</v>
      </c>
      <c r="S45" s="239">
        <f>S37-S43</f>
        <v>275897.15787601797</v>
      </c>
      <c r="U45" s="239">
        <f>U37-U43</f>
        <v>293734.63065612176</v>
      </c>
      <c r="W45" s="239">
        <f>W37-W43</f>
        <v>311464.49458561512</v>
      </c>
      <c r="Y45" s="239">
        <f>Y37-Y43</f>
        <v>329064.68017569254</v>
      </c>
      <c r="AA45" s="239">
        <f>AA37-AA43</f>
        <v>346511.88782258425</v>
      </c>
      <c r="AC45" s="239">
        <f>AC37-AC43</f>
        <v>363781.5333093917</v>
      </c>
      <c r="AE45" s="239">
        <f>AE37-AE43</f>
        <v>380847.69111434463</v>
      </c>
      <c r="AG45" s="239">
        <f>AG37-AG43</f>
        <v>397683.03544154344</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5.7637251911219434E-2</v>
      </c>
      <c r="G47" s="243">
        <f>G45/(G4+G6+G8)</f>
        <v>6.3020104208918015E-2</v>
      </c>
      <c r="I47" s="243">
        <f>I45/(I4+I6+I8)</f>
        <v>6.8112172081150973E-2</v>
      </c>
      <c r="K47" s="243">
        <f>K45/(K4+K6+K8)</f>
        <v>7.2918990169317924E-2</v>
      </c>
      <c r="M47" s="243">
        <f>M45/(M4+M6+M8)</f>
        <v>7.7445942934717335E-2</v>
      </c>
      <c r="O47" s="243">
        <f>O45/(O4+O6+O8)</f>
        <v>8.1698268173252375E-2</v>
      </c>
      <c r="Q47" s="243">
        <f>Q45/(Q4+Q6+Q8)</f>
        <v>8.5681060442968943E-2</v>
      </c>
      <c r="S47" s="243">
        <f>S45/(S4+S6+S8)</f>
        <v>8.9399274406534168E-2</v>
      </c>
      <c r="U47" s="243">
        <f>U45/(U4+U6+U8)</f>
        <v>9.2857728090714797E-2</v>
      </c>
      <c r="W47" s="243">
        <f>W45/(W4+W6+W8)</f>
        <v>9.6061106064870852E-2</v>
      </c>
      <c r="Y47" s="243">
        <f>Y45/(Y4+Y6+Y8)</f>
        <v>9.9013962540419345E-2</v>
      </c>
      <c r="AA47" s="243">
        <f>AA45/(AA4+AA6+AA8)</f>
        <v>0.10172072439318525</v>
      </c>
      <c r="AC47" s="243">
        <f>AC45/(AC4+AC6+AC8)</f>
        <v>0.10418569411050262</v>
      </c>
      <c r="AE47" s="243">
        <f>AE45/(AE4+AE6+AE8)</f>
        <v>0.10641305266488837</v>
      </c>
      <c r="AG47" s="243">
        <f>AG45/(AG4+AG6+AG8)</f>
        <v>0.1084068623160625</v>
      </c>
    </row>
    <row r="48" spans="1:33" s="243" customFormat="1" ht="14">
      <c r="A48" s="243" t="s">
        <v>864</v>
      </c>
      <c r="C48" s="236"/>
      <c r="E48" s="243">
        <f>E45/E43</f>
        <v>0.15262752057770532</v>
      </c>
      <c r="G48" s="243">
        <f>G45/G43</f>
        <v>0.17105373662576609</v>
      </c>
      <c r="I48" s="243">
        <f>I45/I43</f>
        <v>0.18949687139826354</v>
      </c>
      <c r="K48" s="243">
        <f>K45/K43</f>
        <v>0.2079418124897994</v>
      </c>
      <c r="M48" s="243">
        <f>M45/M43</f>
        <v>0.22637252585497186</v>
      </c>
      <c r="O48" s="243">
        <f>O45/O43</f>
        <v>0.24477201373149096</v>
      </c>
      <c r="Q48" s="243">
        <f>Q45/Q43</f>
        <v>0.26312227084508599</v>
      </c>
      <c r="S48" s="243">
        <f>S45/S43</f>
        <v>0.2814042388299195</v>
      </c>
      <c r="U48" s="243">
        <f>U45/U43</f>
        <v>0.29959775879575468</v>
      </c>
      <c r="W48" s="243">
        <f>W45/W43</f>
        <v>0.31768152197057936</v>
      </c>
      <c r="Y48" s="243">
        <f>Y45/Y43</f>
        <v>0.33563301834469828</v>
      </c>
      <c r="AA48" s="243">
        <f>AA45/AA43</f>
        <v>0.35342848323958287</v>
      </c>
      <c r="AC48" s="243">
        <f>AC45/AC43</f>
        <v>0.37104284172188906</v>
      </c>
      <c r="AE48" s="243">
        <f>AE45/AE43</f>
        <v>0.3884496507801114</v>
      </c>
      <c r="AG48" s="243">
        <f>AG45/AG43</f>
        <v>0.40562103917826203</v>
      </c>
    </row>
    <row r="49" spans="1:35" s="244" customFormat="1" ht="14">
      <c r="A49" s="244" t="s">
        <v>862</v>
      </c>
      <c r="C49" s="245"/>
      <c r="E49" s="244">
        <f>E37/E43</f>
        <v>1.1526275205777052</v>
      </c>
      <c r="G49" s="244">
        <f>G37/G43</f>
        <v>1.1710537366257661</v>
      </c>
      <c r="I49" s="244">
        <f>I37/I43</f>
        <v>1.1894968713982637</v>
      </c>
      <c r="K49" s="244">
        <f>K37/K43</f>
        <v>1.2079418124897994</v>
      </c>
      <c r="M49" s="244">
        <f>M37/M43</f>
        <v>1.2263725258549718</v>
      </c>
      <c r="O49" s="244">
        <f>O37/O43</f>
        <v>1.244772013731491</v>
      </c>
      <c r="Q49" s="244">
        <f>Q37/Q43</f>
        <v>1.263122270845086</v>
      </c>
      <c r="S49" s="244">
        <f>S37/S43</f>
        <v>1.2814042388299194</v>
      </c>
      <c r="U49" s="244">
        <f>U37/U43</f>
        <v>1.2995977587957548</v>
      </c>
      <c r="W49" s="244">
        <f>W37/W43</f>
        <v>1.3176815219705793</v>
      </c>
      <c r="Y49" s="244">
        <f>Y37/Y43</f>
        <v>1.3356330183446983</v>
      </c>
      <c r="AA49" s="244">
        <f>AA37/AA43</f>
        <v>1.3534284832395829</v>
      </c>
      <c r="AC49" s="244">
        <f>AC37/AC43</f>
        <v>1.3710428417218892</v>
      </c>
      <c r="AE49" s="244">
        <f>AE37/AE43</f>
        <v>1.3884496507801114</v>
      </c>
      <c r="AG49" s="244">
        <f>AG37/AG43</f>
        <v>1.405621039178262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8" t="s">
        <v>1291</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25000</v>
      </c>
      <c r="G53" s="995">
        <f>E53*$C$53</f>
        <v>25750</v>
      </c>
      <c r="I53" s="995">
        <f>G53*$C$53</f>
        <v>26522.5</v>
      </c>
      <c r="K53" s="995">
        <f>I53*$C$53</f>
        <v>27318.174999999999</v>
      </c>
      <c r="M53" s="995">
        <f>K53*$C$53</f>
        <v>28137.720249999998</v>
      </c>
      <c r="O53" s="995">
        <f>M53*$C$53</f>
        <v>28981.851857499998</v>
      </c>
      <c r="Q53" s="995">
        <f>O53*$C$53</f>
        <v>29851.307413225</v>
      </c>
      <c r="S53" s="995">
        <f>Q53*$C$53</f>
        <v>30746.84663562175</v>
      </c>
      <c r="U53" s="995">
        <f>S53*$C$53</f>
        <v>31669.252034690402</v>
      </c>
      <c r="W53" s="995">
        <f>U53*$C$53</f>
        <v>32619.329595731117</v>
      </c>
      <c r="Y53" s="995">
        <f>W53*$C$53</f>
        <v>33597.909483603049</v>
      </c>
      <c r="AA53" s="995">
        <f>Y53*$C$53</f>
        <v>34605.846768111143</v>
      </c>
      <c r="AC53" s="995">
        <f>AA53*$C$53</f>
        <v>35644.02217115448</v>
      </c>
      <c r="AE53" s="995">
        <f>AC53*$C$53</f>
        <v>36713.342836289114</v>
      </c>
      <c r="AG53" s="995">
        <f>AE53*$C$53</f>
        <v>37814.743121377789</v>
      </c>
    </row>
    <row r="54" spans="1:35" s="3" customFormat="1">
      <c r="A54" s="3" t="s">
        <v>867</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32500</v>
      </c>
      <c r="F58" s="995"/>
      <c r="G58" s="995">
        <f>SUM(G53:G57)</f>
        <v>33475</v>
      </c>
      <c r="H58" s="995"/>
      <c r="I58" s="995">
        <f>SUM(I53:I57)</f>
        <v>34479.25</v>
      </c>
      <c r="J58" s="995"/>
      <c r="K58" s="995">
        <f>SUM(K53:K57)</f>
        <v>35513.627500000002</v>
      </c>
      <c r="L58" s="995"/>
      <c r="M58" s="995">
        <f>SUM(M53:M57)</f>
        <v>36579.036324999994</v>
      </c>
      <c r="N58" s="995"/>
      <c r="O58" s="995">
        <f>SUM(O53:O57)</f>
        <v>37676.40741475</v>
      </c>
      <c r="P58" s="995"/>
      <c r="Q58" s="995">
        <f>SUM(Q53:Q57)</f>
        <v>38806.699637192498</v>
      </c>
      <c r="R58" s="995"/>
      <c r="S58" s="995">
        <f>SUM(S53:S57)</f>
        <v>39970.900626308277</v>
      </c>
      <c r="T58" s="995"/>
      <c r="U58" s="995">
        <f>SUM(U53:U57)</f>
        <v>41170.027645097522</v>
      </c>
      <c r="V58" s="995"/>
      <c r="W58" s="995">
        <f>SUM(W53:W57)</f>
        <v>42405.128474450452</v>
      </c>
      <c r="X58" s="995"/>
      <c r="Y58" s="995">
        <f>SUM(Y53:Y57)</f>
        <v>43677.282328683963</v>
      </c>
      <c r="Z58" s="995"/>
      <c r="AA58" s="995">
        <f>SUM(AA53:AA57)</f>
        <v>44987.600798544488</v>
      </c>
      <c r="AB58" s="995"/>
      <c r="AC58" s="995">
        <f>SUM(AC53:AC57)</f>
        <v>46337.228822500823</v>
      </c>
      <c r="AD58" s="995"/>
      <c r="AE58" s="995">
        <f>SUM(AE53:AE57)</f>
        <v>47727.345687175846</v>
      </c>
      <c r="AF58" s="995"/>
      <c r="AG58" s="995">
        <f>SUM(AG53:AG57)</f>
        <v>49159.166057791124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117140.59999999963</v>
      </c>
      <c r="G60" s="997">
        <f>G45-G58</f>
        <v>134231.21499999985</v>
      </c>
      <c r="I60" s="997">
        <f>I45-I58</f>
        <v>151309.16762499954</v>
      </c>
      <c r="K60" s="997">
        <f>K45-K58</f>
        <v>168358.76371937402</v>
      </c>
      <c r="M60" s="997">
        <f>M45-M58</f>
        <v>185363.37919899006</v>
      </c>
      <c r="O60" s="997">
        <f>O45-O58</f>
        <v>202305.41800801569</v>
      </c>
      <c r="Q60" s="997">
        <f>Q45-Q58</f>
        <v>219166.26836745514</v>
      </c>
      <c r="S60" s="997">
        <f>S45-S58</f>
        <v>235926.25724970968</v>
      </c>
      <c r="U60" s="997">
        <f>U45-U58</f>
        <v>252564.60301102424</v>
      </c>
      <c r="W60" s="997">
        <f>W45-W58</f>
        <v>269059.36611116468</v>
      </c>
      <c r="Y60" s="997">
        <f>Y45-Y58</f>
        <v>285387.3978470086</v>
      </c>
      <c r="AA60" s="997">
        <f>AA45-AA58</f>
        <v>301524.28702403978</v>
      </c>
      <c r="AC60" s="997">
        <f>AC45-AC58</f>
        <v>317444.30448689091</v>
      </c>
      <c r="AE60" s="997">
        <f>AE45-AE58</f>
        <v>333120.34542716877</v>
      </c>
      <c r="AG60" s="997">
        <f>AG45-AG58</f>
        <v>348523.86938375235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117140.59999999963</v>
      </c>
      <c r="G62" s="997">
        <f>G60*$C$62</f>
        <v>134231.21499999985</v>
      </c>
      <c r="I62" s="997">
        <f>I60*$C$62</f>
        <v>151309.16762499954</v>
      </c>
      <c r="K62" s="997">
        <f>K60*$C$62</f>
        <v>168358.76371937402</v>
      </c>
      <c r="M62" s="997">
        <f>M60*$C$62</f>
        <v>185363.37919899006</v>
      </c>
      <c r="O62" s="997">
        <f>O60*$C$62</f>
        <v>202305.41800801569</v>
      </c>
      <c r="Q62" s="997">
        <f>Q60*$C$62</f>
        <v>219166.26836745514</v>
      </c>
      <c r="S62" s="997">
        <f>S60*$C$62</f>
        <v>235926.25724970968</v>
      </c>
      <c r="U62" s="997">
        <f>U60*$C$62</f>
        <v>252564.60301102424</v>
      </c>
      <c r="W62" s="997">
        <f>W60*$C$62</f>
        <v>269059.36611116468</v>
      </c>
      <c r="Y62" s="997">
        <f>Y60*$C$62</f>
        <v>285387.3978470086</v>
      </c>
      <c r="AA62" s="997">
        <f>AA60*$C$62</f>
        <v>301524.28702403978</v>
      </c>
      <c r="AC62" s="997">
        <f>AC60*$C$62</f>
        <v>317444.30448689091</v>
      </c>
      <c r="AE62" s="997">
        <f>AE60*$C$62</f>
        <v>333120.34542716877</v>
      </c>
      <c r="AG62" s="997">
        <f>AG60*$C$62</f>
        <v>348523.86938375235</v>
      </c>
    </row>
    <row r="63" spans="1:35" s="997" customFormat="1">
      <c r="A63" s="2678" t="s">
        <v>1291</v>
      </c>
      <c r="B63" s="2678"/>
      <c r="C63" s="26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1912</v>
      </c>
      <c r="C75" s="192"/>
    </row>
    <row r="76" spans="1:35" s="233" customFormat="1">
      <c r="C76" s="192"/>
    </row>
    <row r="77" spans="1:35" s="250" customFormat="1" ht="30" customHeight="1">
      <c r="A77" s="2676" t="s">
        <v>1911</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3000000</v>
      </c>
      <c r="C5" s="286">
        <f>'Sources and Uses Budget'!$C4</f>
        <v>3000000</v>
      </c>
      <c r="D5" s="290">
        <f>C5-B5</f>
        <v>0</v>
      </c>
      <c r="E5" s="288"/>
      <c r="F5" s="287"/>
      <c r="G5" s="383"/>
    </row>
    <row r="6" spans="1:7" s="380" customFormat="1">
      <c r="A6" s="395" t="s">
        <v>28</v>
      </c>
      <c r="B6" s="286">
        <f>'Sources and Uses Budget'!$C5</f>
        <v>50000</v>
      </c>
      <c r="C6" s="286">
        <f>'Sources and Uses Budget'!$C5</f>
        <v>50000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3050000</v>
      </c>
      <c r="C9" s="290">
        <f>SUM(C5:C8)</f>
        <v>3050000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1336478</v>
      </c>
      <c r="C11" s="286">
        <f>'Sources and Uses Budget'!$C10</f>
        <v>1336478</v>
      </c>
      <c r="D11" s="290">
        <f t="shared" si="0"/>
        <v>0</v>
      </c>
      <c r="E11" s="288"/>
      <c r="F11" s="287"/>
      <c r="G11" s="383"/>
    </row>
    <row r="12" spans="1:7" s="380" customFormat="1">
      <c r="A12" s="396" t="s">
        <v>605</v>
      </c>
      <c r="B12" s="290">
        <f>SUM(B10:B11)</f>
        <v>1336478</v>
      </c>
      <c r="C12" s="290">
        <f>SUM(C10:C11)</f>
        <v>1336478</v>
      </c>
      <c r="D12" s="290">
        <f t="shared" si="0"/>
        <v>0</v>
      </c>
      <c r="E12" s="288"/>
      <c r="F12" s="287"/>
      <c r="G12" s="383"/>
    </row>
    <row r="13" spans="1:7" s="380" customFormat="1">
      <c r="A13" s="396" t="s">
        <v>84</v>
      </c>
      <c r="B13" s="290">
        <f>SUM(B9+B12)</f>
        <v>4386478</v>
      </c>
      <c r="C13" s="290">
        <f>SUM(C9+C12)</f>
        <v>4386478</v>
      </c>
      <c r="D13" s="290">
        <f t="shared" si="0"/>
        <v>0</v>
      </c>
      <c r="E13" s="288"/>
      <c r="F13" s="287"/>
      <c r="G13" s="383"/>
    </row>
    <row r="14" spans="1:7" s="380" customFormat="1">
      <c r="A14" s="397" t="s">
        <v>918</v>
      </c>
      <c r="B14" s="286">
        <f>'Sources and Uses Budget'!$C13</f>
        <v>450000</v>
      </c>
      <c r="C14" s="286">
        <f>'Sources and Uses Budget'!$C13</f>
        <v>450000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(Performance Bonds)</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729424</v>
      </c>
      <c r="C30" s="286">
        <f>'Sources and Uses Budget'!$C29</f>
        <v>729424</v>
      </c>
      <c r="D30" s="290">
        <f t="shared" si="0"/>
        <v>0</v>
      </c>
      <c r="E30" s="288"/>
      <c r="F30" s="287"/>
      <c r="G30" s="383"/>
    </row>
    <row r="31" spans="1:7" s="380" customFormat="1">
      <c r="A31" s="145" t="s">
        <v>608</v>
      </c>
      <c r="B31" s="286">
        <f>'Sources and Uses Budget'!$C30</f>
        <v>44492221</v>
      </c>
      <c r="C31" s="286">
        <f>'Sources and Uses Budget'!$C30</f>
        <v>44492221</v>
      </c>
      <c r="D31" s="290">
        <f t="shared" si="0"/>
        <v>0</v>
      </c>
      <c r="E31" s="288"/>
      <c r="F31" s="287"/>
      <c r="G31" s="383"/>
    </row>
    <row r="32" spans="1:7" s="380" customFormat="1">
      <c r="A32" s="145" t="s">
        <v>609</v>
      </c>
      <c r="B32" s="286">
        <f>'Sources and Uses Budget'!$C31</f>
        <v>2805239</v>
      </c>
      <c r="C32" s="286">
        <f>'Sources and Uses Budget'!$C31</f>
        <v>2805239</v>
      </c>
      <c r="D32" s="290">
        <f t="shared" si="0"/>
        <v>0</v>
      </c>
      <c r="E32" s="288"/>
      <c r="F32" s="287"/>
      <c r="G32" s="383"/>
    </row>
    <row r="33" spans="1:7" s="380" customFormat="1">
      <c r="A33" s="145" t="s">
        <v>137</v>
      </c>
      <c r="B33" s="286">
        <f>'Sources and Uses Budget'!$C32</f>
        <v>935019</v>
      </c>
      <c r="C33" s="286">
        <f>'Sources and Uses Budget'!$C32</f>
        <v>935019</v>
      </c>
      <c r="D33" s="290">
        <f t="shared" si="0"/>
        <v>0</v>
      </c>
      <c r="E33" s="288"/>
      <c r="F33" s="287"/>
      <c r="G33" s="383"/>
    </row>
    <row r="34" spans="1:7" s="380" customFormat="1">
      <c r="A34" s="145" t="s">
        <v>138</v>
      </c>
      <c r="B34" s="286">
        <f>'Sources and Uses Budget'!$C33</f>
        <v>2805239</v>
      </c>
      <c r="C34" s="286">
        <f>'Sources and Uses Budget'!$C33</f>
        <v>2805239</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373678</v>
      </c>
      <c r="C36" s="286">
        <f>'Sources and Uses Budget'!$C35</f>
        <v>373678</v>
      </c>
      <c r="D36" s="290">
        <f t="shared" si="0"/>
        <v>0</v>
      </c>
      <c r="E36" s="288"/>
      <c r="F36" s="287"/>
      <c r="G36" s="383"/>
    </row>
    <row r="37" spans="1:7" s="380" customFormat="1">
      <c r="A37" s="304" t="s">
        <v>1753</v>
      </c>
      <c r="B37" s="286">
        <f>'Sources and Uses Budget'!$C36</f>
        <v>48000</v>
      </c>
      <c r="C37" s="286">
        <f>'Sources and Uses Budget'!$C36</f>
        <v>48000</v>
      </c>
      <c r="D37" s="290"/>
      <c r="E37" s="288"/>
      <c r="F37" s="287"/>
      <c r="G37" s="383"/>
    </row>
    <row r="38" spans="1:7" s="380" customFormat="1">
      <c r="A38" s="155" t="str">
        <f>'Sources and Uses Budget'!A37</f>
        <v>Other: ()</v>
      </c>
      <c r="B38" s="286">
        <f>'Sources and Uses Budget'!$C37</f>
        <v>0</v>
      </c>
      <c r="C38" s="286">
        <f>'Sources and Uses Budget'!$C37</f>
        <v>0</v>
      </c>
      <c r="D38" s="290">
        <f t="shared" si="0"/>
        <v>0</v>
      </c>
      <c r="E38" s="288"/>
      <c r="F38" s="287"/>
      <c r="G38" s="383"/>
    </row>
    <row r="39" spans="1:7" s="380" customFormat="1" ht="13">
      <c r="A39" s="291" t="s">
        <v>143</v>
      </c>
      <c r="B39" s="290">
        <f>SUM(B30:B38)</f>
        <v>52188820</v>
      </c>
      <c r="C39" s="290">
        <f>SUM(C30:C38)</f>
        <v>52188820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1387810</v>
      </c>
      <c r="C41" s="286">
        <f>'Sources and Uses Budget'!$C40</f>
        <v>1387810</v>
      </c>
      <c r="D41" s="290">
        <f t="shared" si="0"/>
        <v>0</v>
      </c>
      <c r="E41" s="288"/>
      <c r="F41" s="287"/>
      <c r="G41" s="383"/>
    </row>
    <row r="42" spans="1:7" s="380" customFormat="1">
      <c r="A42" s="289" t="s">
        <v>146</v>
      </c>
      <c r="B42" s="286">
        <f>'Sources and Uses Budget'!$C41</f>
        <v>573000</v>
      </c>
      <c r="C42" s="286">
        <f>'Sources and Uses Budget'!$C41</f>
        <v>573000</v>
      </c>
      <c r="D42" s="290">
        <f t="shared" si="0"/>
        <v>0</v>
      </c>
      <c r="E42" s="288"/>
      <c r="F42" s="287"/>
      <c r="G42" s="383"/>
    </row>
    <row r="43" spans="1:7" s="380" customFormat="1" ht="13">
      <c r="A43" s="291" t="s">
        <v>147</v>
      </c>
      <c r="B43" s="290">
        <f>SUM(B41:B42)</f>
        <v>1960810</v>
      </c>
      <c r="C43" s="290">
        <f>SUM(C41:C42)</f>
        <v>1960810</v>
      </c>
      <c r="D43" s="290">
        <f t="shared" si="0"/>
        <v>0</v>
      </c>
      <c r="E43" s="288"/>
      <c r="F43" s="287"/>
      <c r="G43" s="383"/>
    </row>
    <row r="44" spans="1:7" s="380" customFormat="1" ht="13">
      <c r="A44" s="291" t="s">
        <v>148</v>
      </c>
      <c r="B44" s="286">
        <f>'Sources and Uses Budget'!$C43</f>
        <v>325000</v>
      </c>
      <c r="C44" s="286">
        <f>'Sources and Uses Budget'!$C43</f>
        <v>325000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9802680</v>
      </c>
      <c r="C46" s="286">
        <f>'Sources and Uses Budget'!$C45</f>
        <v>9802680</v>
      </c>
      <c r="D46" s="290">
        <f t="shared" si="0"/>
        <v>0</v>
      </c>
      <c r="E46" s="288"/>
      <c r="F46" s="287"/>
      <c r="G46" s="383"/>
    </row>
    <row r="47" spans="1:7" s="380" customFormat="1">
      <c r="A47" s="145" t="s">
        <v>151</v>
      </c>
      <c r="B47" s="286">
        <f>'Sources and Uses Budget'!$C46</f>
        <v>460627</v>
      </c>
      <c r="C47" s="286">
        <f>'Sources and Uses Budget'!$C46</f>
        <v>460627</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46000</v>
      </c>
      <c r="C51" s="286">
        <f>'Sources and Uses Budget'!$C50</f>
        <v>46000</v>
      </c>
      <c r="D51" s="290">
        <f t="shared" si="0"/>
        <v>0</v>
      </c>
      <c r="E51" s="288"/>
      <c r="F51" s="287"/>
      <c r="G51" s="383"/>
    </row>
    <row r="52" spans="1:7" s="380" customFormat="1">
      <c r="A52" s="304" t="s">
        <v>154</v>
      </c>
      <c r="B52" s="286">
        <f>'Sources and Uses Budget'!$C51</f>
        <v>272132</v>
      </c>
      <c r="C52" s="286">
        <f>'Sources and Uses Budget'!$C51</f>
        <v>272132</v>
      </c>
      <c r="D52" s="290">
        <f t="shared" si="0"/>
        <v>0</v>
      </c>
      <c r="E52" s="288"/>
      <c r="F52" s="287"/>
      <c r="G52" s="383"/>
    </row>
    <row r="53" spans="1:7" s="380" customFormat="1">
      <c r="A53" s="145" t="s">
        <v>155</v>
      </c>
      <c r="B53" s="286">
        <f>'Sources and Uses Budget'!$C52</f>
        <v>1684233</v>
      </c>
      <c r="C53" s="286">
        <f>'Sources and Uses Budget'!$C52</f>
        <v>1684233</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
      <c r="A55" s="291" t="s">
        <v>157</v>
      </c>
      <c r="B55" s="293">
        <f>SUM(B46:B54)</f>
        <v>12265672</v>
      </c>
      <c r="C55" s="293">
        <f>SUM(C46:C54)</f>
        <v>12265672</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115900</v>
      </c>
      <c r="C57" s="286">
        <f>'Sources and Uses Budget'!$C56</f>
        <v>115900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119220</v>
      </c>
      <c r="C61" s="286">
        <f>'Sources and Uses Budget'!$C60</f>
        <v>119220</v>
      </c>
      <c r="D61" s="290">
        <f t="shared" si="0"/>
        <v>0</v>
      </c>
      <c r="E61" s="288"/>
      <c r="F61" s="287"/>
      <c r="G61" s="383"/>
    </row>
    <row r="62" spans="1:7" s="380" customFormat="1">
      <c r="A62" s="1054" t="str">
        <f>'Sources and Uses Budget'!A61</f>
        <v>Other: (Issuer Fee)</v>
      </c>
      <c r="B62" s="286">
        <f>'Sources and Uses Budget'!$C61</f>
        <v>76169</v>
      </c>
      <c r="C62" s="286">
        <f>'Sources and Uses Budget'!$C61</f>
        <v>76169</v>
      </c>
      <c r="D62" s="290">
        <f t="shared" si="0"/>
        <v>0</v>
      </c>
      <c r="E62" s="288"/>
      <c r="F62" s="287"/>
      <c r="G62" s="383"/>
    </row>
    <row r="63" spans="1:7" s="380" customFormat="1" ht="13.75" customHeight="1">
      <c r="A63" s="291" t="s">
        <v>302</v>
      </c>
      <c r="B63" s="290">
        <f>SUM(B57:B62)</f>
        <v>336289</v>
      </c>
      <c r="C63" s="290">
        <f>SUM(C57:C62)</f>
        <v>336289</v>
      </c>
      <c r="D63" s="290">
        <f t="shared" si="0"/>
        <v>0</v>
      </c>
      <c r="E63" s="288"/>
      <c r="F63" s="287"/>
      <c r="G63" s="383"/>
    </row>
    <row r="64" spans="1:7" s="380" customFormat="1" ht="13">
      <c r="A64" s="294" t="s">
        <v>303</v>
      </c>
      <c r="B64" s="290">
        <f>SUM(B9+B12+B14+B15+B17+B26+B28+B39+B43+B44+B55+B63)</f>
        <v>71913069</v>
      </c>
      <c r="C64" s="290">
        <f>SUM(C9+C12+C14+C15+C17+C26+C28+C39+C43+C44+C55+C63)</f>
        <v>71913069</v>
      </c>
      <c r="D64" s="290">
        <f t="shared" si="0"/>
        <v>0</v>
      </c>
      <c r="E64" s="288"/>
      <c r="F64" s="287"/>
      <c r="G64" s="383"/>
    </row>
    <row r="65" spans="1:7" s="380" customFormat="1" ht="24">
      <c r="A65" s="141" t="s">
        <v>1757</v>
      </c>
      <c r="B65" s="284"/>
      <c r="C65" s="284"/>
      <c r="D65" s="284"/>
      <c r="E65" s="303"/>
      <c r="F65" s="284"/>
      <c r="G65" s="383"/>
    </row>
    <row r="66" spans="1:7" s="380" customFormat="1">
      <c r="A66" s="145" t="s">
        <v>171</v>
      </c>
      <c r="B66" s="286">
        <f>'Sources and Uses Budget'!$C65</f>
        <v>279710</v>
      </c>
      <c r="C66" s="286">
        <f>'Sources and Uses Budget'!$C65</f>
        <v>279710</v>
      </c>
      <c r="D66" s="290">
        <f t="shared" si="0"/>
        <v>0</v>
      </c>
      <c r="E66" s="288"/>
      <c r="F66" s="287"/>
      <c r="G66" s="383"/>
    </row>
    <row r="67" spans="1:7" s="380" customFormat="1" ht="23">
      <c r="A67" s="304" t="s">
        <v>1754</v>
      </c>
      <c r="B67" s="286">
        <f>'Sources and Uses Budget'!$C66</f>
        <v>0</v>
      </c>
      <c r="C67" s="286">
        <f>'Sources and Uses Budget'!$C66</f>
        <v>0</v>
      </c>
      <c r="D67" s="290"/>
      <c r="E67" s="288"/>
      <c r="F67" s="287"/>
      <c r="G67" s="383"/>
    </row>
    <row r="68" spans="1:7" s="380" customFormat="1" ht="23">
      <c r="A68" s="304" t="s">
        <v>1755</v>
      </c>
      <c r="B68" s="286">
        <f>'Sources and Uses Budget'!$C67</f>
        <v>0</v>
      </c>
      <c r="C68" s="286">
        <f>'Sources and Uses Budget'!$C67</f>
        <v>0</v>
      </c>
      <c r="D68" s="290"/>
      <c r="E68" s="288"/>
      <c r="F68" s="287"/>
      <c r="G68" s="383"/>
    </row>
    <row r="69" spans="1:7" s="380" customFormat="1">
      <c r="A69" s="304" t="s">
        <v>1761</v>
      </c>
      <c r="B69" s="286">
        <f>'Sources and Uses Budget'!$C68</f>
        <v>15000</v>
      </c>
      <c r="C69" s="286">
        <f>'Sources and Uses Budget'!$C68</f>
        <v>15000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1758</v>
      </c>
      <c r="B71" s="290">
        <f>SUM(B66:B70)</f>
        <v>294710</v>
      </c>
      <c r="C71" s="290">
        <f>SUM(C66:C70)</f>
        <v>294710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1094900</v>
      </c>
      <c r="C76" s="286">
        <f>'Sources and Uses Budget'!$C75</f>
        <v>1094900</v>
      </c>
      <c r="D76" s="290">
        <f t="shared" si="0"/>
        <v>0</v>
      </c>
      <c r="E76" s="288"/>
      <c r="F76" s="287"/>
      <c r="G76" s="383"/>
    </row>
    <row r="77" spans="1:7" s="380" customFormat="1">
      <c r="A77" s="292" t="s">
        <v>34</v>
      </c>
      <c r="B77" s="286">
        <f>'Sources and Uses Budget'!$C76</f>
        <v>162000</v>
      </c>
      <c r="C77" s="286">
        <f>'Sources and Uses Budget'!$C76</f>
        <v>162000</v>
      </c>
      <c r="D77" s="290">
        <f t="shared" si="0"/>
        <v>0</v>
      </c>
      <c r="E77" s="288"/>
      <c r="F77" s="287"/>
      <c r="G77" s="383"/>
    </row>
    <row r="78" spans="1:7" s="380" customFormat="1" ht="13">
      <c r="A78" s="291" t="s">
        <v>615</v>
      </c>
      <c r="B78" s="290">
        <f>SUM(B73:B77)</f>
        <v>1256900</v>
      </c>
      <c r="C78" s="290">
        <f>SUM(C73:C77)</f>
        <v>1256900</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2673865</v>
      </c>
      <c r="C80" s="286">
        <f>'Sources and Uses Budget'!$C79</f>
        <v>2673865</v>
      </c>
      <c r="D80" s="290">
        <f t="shared" si="1"/>
        <v>0</v>
      </c>
      <c r="E80" s="288"/>
      <c r="F80" s="287"/>
      <c r="G80" s="383"/>
    </row>
    <row r="81" spans="1:7" s="380" customFormat="1">
      <c r="A81" s="544" t="s">
        <v>58</v>
      </c>
      <c r="B81" s="286">
        <f>'Sources and Uses Budget'!$C80</f>
        <v>450000</v>
      </c>
      <c r="C81" s="286">
        <f>'Sources and Uses Budget'!$C80</f>
        <v>450000</v>
      </c>
      <c r="D81" s="290">
        <f>C81-B81</f>
        <v>0</v>
      </c>
      <c r="E81" s="288"/>
      <c r="F81" s="287"/>
      <c r="G81" s="383"/>
    </row>
    <row r="82" spans="1:7" s="380" customFormat="1" ht="13">
      <c r="A82" s="291" t="s">
        <v>1316</v>
      </c>
      <c r="B82" s="290">
        <f>SUM(B80:B81)</f>
        <v>3123865</v>
      </c>
      <c r="C82" s="290">
        <f>SUM(C80:C81)</f>
        <v>3123865</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167390</v>
      </c>
      <c r="C84" s="286">
        <f>'Sources and Uses Budget'!$C83</f>
        <v>167390</v>
      </c>
      <c r="D84" s="290">
        <f t="shared" si="1"/>
        <v>0</v>
      </c>
      <c r="E84" s="288"/>
      <c r="F84" s="287"/>
      <c r="G84" s="383"/>
    </row>
    <row r="85" spans="1:7" s="380" customFormat="1">
      <c r="A85" s="289" t="s">
        <v>777</v>
      </c>
      <c r="B85" s="286">
        <f>'Sources and Uses Budget'!$C84</f>
        <v>24809</v>
      </c>
      <c r="C85" s="286">
        <f>'Sources and Uses Budget'!$C84</f>
        <v>24809</v>
      </c>
      <c r="D85" s="290">
        <f t="shared" si="1"/>
        <v>0</v>
      </c>
      <c r="E85" s="288"/>
      <c r="F85" s="287"/>
      <c r="G85" s="383"/>
    </row>
    <row r="86" spans="1:7" s="380" customFormat="1">
      <c r="A86" s="289" t="s">
        <v>778</v>
      </c>
      <c r="B86" s="286">
        <f>'Sources and Uses Budget'!$C85</f>
        <v>2622177</v>
      </c>
      <c r="C86" s="286">
        <f>'Sources and Uses Budget'!$C85</f>
        <v>2622177</v>
      </c>
      <c r="D86" s="290">
        <f t="shared" si="1"/>
        <v>0</v>
      </c>
      <c r="E86" s="288"/>
      <c r="F86" s="287"/>
      <c r="G86" s="383"/>
    </row>
    <row r="87" spans="1:7" s="380" customFormat="1">
      <c r="A87" s="289" t="s">
        <v>779</v>
      </c>
      <c r="B87" s="286">
        <f>'Sources and Uses Budget'!$C86</f>
        <v>357348</v>
      </c>
      <c r="C87" s="286">
        <f>'Sources and Uses Budget'!$C86</f>
        <v>357348</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125000</v>
      </c>
      <c r="C89" s="286">
        <f>'Sources and Uses Budget'!$C88</f>
        <v>125000</v>
      </c>
      <c r="D89" s="290">
        <f t="shared" si="1"/>
        <v>0</v>
      </c>
      <c r="E89" s="288"/>
      <c r="F89" s="287"/>
      <c r="G89" s="383"/>
    </row>
    <row r="90" spans="1:7" s="380" customFormat="1">
      <c r="A90" s="289" t="s">
        <v>782</v>
      </c>
      <c r="B90" s="286">
        <f>'Sources and Uses Budget'!$C89</f>
        <v>24221</v>
      </c>
      <c r="C90" s="286">
        <f>'Sources and Uses Budget'!$C89</f>
        <v>24221</v>
      </c>
      <c r="D90" s="290">
        <f t="shared" si="1"/>
        <v>0</v>
      </c>
      <c r="E90" s="288"/>
      <c r="F90" s="287"/>
      <c r="G90" s="383"/>
    </row>
    <row r="91" spans="1:7" s="380" customFormat="1">
      <c r="A91" s="289" t="s">
        <v>783</v>
      </c>
      <c r="B91" s="286">
        <f>'Sources and Uses Budget'!$C90</f>
        <v>7500</v>
      </c>
      <c r="C91" s="286">
        <f>'Sources and Uses Budget'!$C90</f>
        <v>7500</v>
      </c>
      <c r="D91" s="290">
        <f t="shared" si="1"/>
        <v>0</v>
      </c>
      <c r="E91" s="288"/>
      <c r="F91" s="287"/>
      <c r="G91" s="383"/>
    </row>
    <row r="92" spans="1:7" s="380" customFormat="1">
      <c r="A92" s="289" t="s">
        <v>373</v>
      </c>
      <c r="B92" s="286">
        <f>'Sources and Uses Budget'!$C91</f>
        <v>50000</v>
      </c>
      <c r="C92" s="286">
        <f>'Sources and Uses Budget'!$C91</f>
        <v>50000</v>
      </c>
      <c r="D92" s="290">
        <f t="shared" si="1"/>
        <v>0</v>
      </c>
      <c r="E92" s="288"/>
      <c r="F92" s="287"/>
      <c r="G92" s="383"/>
    </row>
    <row r="93" spans="1:7" s="380" customFormat="1">
      <c r="A93" s="544" t="s">
        <v>1318</v>
      </c>
      <c r="B93" s="286">
        <f>'Sources and Uses Budget'!$C92</f>
        <v>12000</v>
      </c>
      <c r="C93" s="286">
        <f>'Sources and Uses Budget'!$C92</f>
        <v>12000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3390445</v>
      </c>
      <c r="C97" s="290">
        <f>SUM(C84:C96)</f>
        <v>3390445</v>
      </c>
      <c r="D97" s="290">
        <f t="shared" si="1"/>
        <v>0</v>
      </c>
      <c r="E97" s="288"/>
      <c r="F97" s="287"/>
      <c r="G97" s="383"/>
    </row>
    <row r="98" spans="1:7" s="380" customFormat="1" ht="13">
      <c r="A98" s="291" t="s">
        <v>785</v>
      </c>
      <c r="B98" s="290">
        <f>SUM(B64+B71+B78+B82+B97)</f>
        <v>79978989</v>
      </c>
      <c r="C98" s="290">
        <f>SUM(C64+C71+C78+C82+C97)</f>
        <v>79978989</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10534580</v>
      </c>
      <c r="C100" s="286">
        <f>'Sources and Uses Budget'!$C99</f>
        <v>10534580</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10534580</v>
      </c>
      <c r="C105" s="290">
        <f>SUM(C100:C104)</f>
        <v>10534580</v>
      </c>
      <c r="D105" s="290">
        <f t="shared" si="1"/>
        <v>0</v>
      </c>
      <c r="E105" s="288"/>
      <c r="F105" s="287"/>
      <c r="G105" s="383"/>
    </row>
    <row r="106" spans="1:7" s="380" customFormat="1" ht="13">
      <c r="A106" s="291" t="s">
        <v>790</v>
      </c>
      <c r="B106" s="293">
        <f>SUM(B98+B105)</f>
        <v>90513569</v>
      </c>
      <c r="C106" s="293">
        <f>SUM(C98+C105)</f>
        <v>90513569</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0" t="s">
        <v>1069</v>
      </c>
      <c r="B2" s="1300"/>
      <c r="C2" s="1274"/>
      <c r="D2" s="1274"/>
      <c r="E2" s="1274"/>
      <c r="F2" s="1274"/>
      <c r="G2" s="1274"/>
    </row>
    <row r="3" spans="1:9" s="173" customFormat="1" ht="13">
      <c r="A3" s="1300" t="s">
        <v>1010</v>
      </c>
      <c r="B3" s="1300"/>
      <c r="C3" s="1274"/>
      <c r="D3" s="1274"/>
      <c r="E3" s="1274"/>
      <c r="F3" s="1274"/>
      <c r="G3" s="1274"/>
      <c r="I3" t="s">
        <v>308</v>
      </c>
    </row>
    <row r="4" spans="1:9">
      <c r="I4" s="3" t="s">
        <v>1070</v>
      </c>
    </row>
    <row r="5" spans="1:9" ht="13">
      <c r="A5" s="1302" t="s">
        <v>1011</v>
      </c>
      <c r="B5" s="1302"/>
      <c r="C5" s="1274"/>
      <c r="D5" s="1274"/>
      <c r="E5" s="1274"/>
      <c r="F5" s="1274"/>
      <c r="G5" s="1274"/>
      <c r="I5" s="3" t="s">
        <v>1071</v>
      </c>
    </row>
    <row r="6" spans="1:9" ht="13">
      <c r="A6" s="1302" t="s">
        <v>829</v>
      </c>
      <c r="B6" s="1302"/>
      <c r="C6" s="1274"/>
      <c r="D6" s="1274"/>
      <c r="E6" s="1274"/>
      <c r="F6" s="1274"/>
      <c r="G6" s="1274"/>
      <c r="I6" t="s">
        <v>600</v>
      </c>
    </row>
    <row r="7" spans="1:9" ht="11.9" customHeight="1"/>
    <row r="8" spans="1:9" ht="13">
      <c r="A8" s="1300" t="s">
        <v>1166</v>
      </c>
      <c r="B8" s="1300"/>
      <c r="C8" s="1301"/>
      <c r="D8" s="1301"/>
      <c r="E8" s="1301"/>
      <c r="F8" s="1301"/>
      <c r="G8" s="1301"/>
    </row>
    <row r="9" spans="1:9" ht="13">
      <c r="A9" s="1300" t="s">
        <v>1167</v>
      </c>
      <c r="B9" s="1300"/>
      <c r="C9" s="1301"/>
      <c r="D9" s="1301"/>
      <c r="E9" s="1301"/>
      <c r="F9" s="1301"/>
      <c r="G9" s="1301"/>
    </row>
    <row r="10" spans="1:9" ht="13">
      <c r="A10" s="174"/>
      <c r="B10" s="174"/>
      <c r="C10" s="172"/>
      <c r="D10" s="172"/>
      <c r="E10" s="172"/>
      <c r="F10" s="172"/>
    </row>
    <row r="11" spans="1:9" ht="13">
      <c r="A11" s="1281" t="s">
        <v>1169</v>
      </c>
      <c r="B11" s="1281"/>
      <c r="C11" s="1281"/>
      <c r="D11" s="1281"/>
      <c r="E11" s="1281"/>
      <c r="F11" s="1281"/>
      <c r="G11" s="1281"/>
    </row>
    <row r="12" spans="1:9" ht="13">
      <c r="A12" s="172"/>
      <c r="B12" s="172"/>
      <c r="E12" s="2"/>
    </row>
    <row r="13" spans="1:9" ht="13.15" customHeight="1">
      <c r="C13" s="172"/>
      <c r="D13" s="1314" t="s">
        <v>1168</v>
      </c>
      <c r="E13" s="1314"/>
      <c r="F13" s="1314"/>
    </row>
    <row r="14" spans="1:9" ht="13">
      <c r="C14" s="172"/>
      <c r="D14" s="1314"/>
      <c r="E14" s="1314"/>
      <c r="F14" s="1314"/>
    </row>
    <row r="15" spans="1:9" ht="13">
      <c r="A15" s="175"/>
      <c r="B15" s="175"/>
      <c r="C15" s="175"/>
      <c r="D15" s="1277" t="s">
        <v>1151</v>
      </c>
      <c r="E15" s="1277"/>
      <c r="F15" s="1277"/>
    </row>
    <row r="16" spans="1:9" ht="13">
      <c r="A16" s="175"/>
      <c r="B16" s="175"/>
      <c r="C16" s="175"/>
      <c r="D16" s="218"/>
    </row>
    <row r="17" spans="1:6" ht="13">
      <c r="A17" s="176"/>
      <c r="B17" s="468" t="s">
        <v>308</v>
      </c>
      <c r="C17" s="175"/>
      <c r="D17" s="1266" t="s">
        <v>1152</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8" t="s">
        <v>308</v>
      </c>
      <c r="D21" s="1309" t="s">
        <v>1153</v>
      </c>
      <c r="E21" s="1309"/>
      <c r="F21" s="1309"/>
    </row>
    <row r="22" spans="1:6" ht="13">
      <c r="A22" s="176"/>
      <c r="B22" s="176"/>
      <c r="D22" s="35"/>
    </row>
    <row r="23" spans="1:6" ht="13">
      <c r="A23" s="176"/>
      <c r="B23" s="468" t="s">
        <v>308</v>
      </c>
      <c r="D23" s="1266" t="s">
        <v>1154</v>
      </c>
      <c r="E23" s="1266"/>
      <c r="F23" s="1266"/>
    </row>
    <row r="24" spans="1:6" ht="13">
      <c r="A24" s="176"/>
      <c r="B24" s="176"/>
      <c r="D24" s="1266"/>
      <c r="E24" s="1266"/>
      <c r="F24" s="1266"/>
    </row>
    <row r="25" spans="1:6"/>
    <row r="26" spans="1:6" ht="13">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3">
      <c r="A34" s="176"/>
      <c r="B34" s="176"/>
      <c r="D34" s="220"/>
    </row>
    <row r="35" spans="1:6" ht="14.5" customHeight="1">
      <c r="A35" s="176"/>
      <c r="B35" s="468" t="s">
        <v>308</v>
      </c>
      <c r="D35" s="1266" t="s">
        <v>1157</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8" t="s">
        <v>308</v>
      </c>
      <c r="D39" s="1266" t="s">
        <v>1158</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4"/>
      <c r="E44" s="474"/>
      <c r="F44" s="474"/>
    </row>
    <row r="45" spans="1:6" ht="13">
      <c r="A45" s="176"/>
      <c r="B45" s="468" t="s">
        <v>308</v>
      </c>
      <c r="D45" s="1266" t="s">
        <v>1159</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8" t="s">
        <v>308</v>
      </c>
      <c r="D50" s="1266" t="s">
        <v>1160</v>
      </c>
      <c r="E50" s="1266"/>
      <c r="F50" s="1266"/>
    </row>
    <row r="51" spans="1:7" ht="13">
      <c r="A51" s="176"/>
      <c r="B51" s="176"/>
      <c r="D51" s="1266"/>
      <c r="E51" s="1266"/>
      <c r="F51" s="1266"/>
    </row>
    <row r="52" spans="1:7" ht="13">
      <c r="A52" s="176"/>
      <c r="B52" s="176"/>
      <c r="D52" s="1266"/>
      <c r="E52" s="1266"/>
      <c r="F52" s="1266"/>
    </row>
    <row r="53" spans="1:7" ht="13">
      <c r="A53" s="176"/>
      <c r="B53" s="176"/>
      <c r="C53" s="385"/>
      <c r="D53" s="3"/>
      <c r="E53" s="3"/>
      <c r="F53" s="3"/>
      <c r="G53" s="3"/>
    </row>
    <row r="54" spans="1:7" ht="13">
      <c r="A54" s="176"/>
      <c r="B54" s="468" t="s">
        <v>308</v>
      </c>
      <c r="C54" s="385"/>
      <c r="D54" s="1266" t="s">
        <v>1161</v>
      </c>
      <c r="E54" s="1266"/>
      <c r="F54" s="1266"/>
      <c r="G54" s="3"/>
    </row>
    <row r="55" spans="1:7" ht="13">
      <c r="A55" s="176"/>
      <c r="B55" s="176"/>
      <c r="C55" s="385"/>
      <c r="D55" s="1266"/>
      <c r="E55" s="1266"/>
      <c r="F55" s="1266"/>
      <c r="G55" s="3"/>
    </row>
    <row r="56" spans="1:7">
      <c r="D56" s="220"/>
    </row>
    <row r="57" spans="1:7" ht="13">
      <c r="A57" s="176"/>
      <c r="B57" s="468" t="s">
        <v>308</v>
      </c>
      <c r="D57" s="1266" t="s">
        <v>1162</v>
      </c>
      <c r="E57" s="1266"/>
      <c r="F57" s="1266"/>
    </row>
    <row r="58" spans="1:7">
      <c r="D58" s="1266"/>
      <c r="E58" s="1266"/>
      <c r="F58" s="1266"/>
    </row>
    <row r="59" spans="1:7">
      <c r="D59" s="1266"/>
      <c r="E59" s="1266"/>
      <c r="F59" s="1266"/>
    </row>
    <row r="60" spans="1:7">
      <c r="D60" s="3"/>
    </row>
    <row r="61" spans="1:7" ht="13">
      <c r="A61" s="176"/>
      <c r="B61" s="468" t="s">
        <v>308</v>
      </c>
      <c r="D61" s="1266" t="s">
        <v>1163</v>
      </c>
      <c r="E61" s="1266"/>
      <c r="F61" s="1266"/>
    </row>
    <row r="62" spans="1:7">
      <c r="D62" s="1266"/>
      <c r="E62" s="1266"/>
      <c r="F62" s="1266"/>
    </row>
    <row r="63" spans="1:7"/>
    <row r="64" spans="1:7" ht="13">
      <c r="A64" s="176"/>
      <c r="B64" s="468" t="s">
        <v>308</v>
      </c>
      <c r="D64" s="1266" t="s">
        <v>1164</v>
      </c>
      <c r="E64" s="1266"/>
      <c r="F64" s="1266"/>
    </row>
    <row r="65" spans="1:7">
      <c r="D65" s="1266"/>
      <c r="E65" s="1266"/>
      <c r="F65" s="1266"/>
    </row>
    <row r="66" spans="1:7">
      <c r="D66" s="1266"/>
      <c r="E66" s="1266"/>
      <c r="F66" s="1266"/>
    </row>
    <row r="67" spans="1:7">
      <c r="D67"/>
    </row>
    <row r="68" spans="1:7" ht="13">
      <c r="A68" s="176"/>
      <c r="B68" s="468" t="s">
        <v>308</v>
      </c>
      <c r="D68" s="1266" t="s">
        <v>1165</v>
      </c>
      <c r="E68" s="1266"/>
      <c r="F68" s="1266"/>
    </row>
    <row r="69" spans="1:7">
      <c r="D69" s="1266"/>
      <c r="E69" s="1266"/>
      <c r="F69" s="1266"/>
    </row>
    <row r="70" spans="1:7" ht="13">
      <c r="A70" s="176"/>
      <c r="B70" s="176"/>
      <c r="D70" s="35"/>
    </row>
    <row r="71" spans="1:7" ht="13">
      <c r="A71" s="1281" t="s">
        <v>1072</v>
      </c>
      <c r="B71" s="1281"/>
      <c r="C71" s="1281"/>
      <c r="D71" s="1281"/>
      <c r="E71" s="1281"/>
      <c r="F71" s="1281"/>
      <c r="G71" s="1281"/>
    </row>
    <row r="72" spans="1:7"/>
    <row r="73" spans="1:7" ht="13">
      <c r="C73" s="177"/>
      <c r="D73" s="1299" t="s">
        <v>1170</v>
      </c>
      <c r="E73" s="1299"/>
      <c r="F73" s="1299"/>
    </row>
    <row r="74" spans="1:7">
      <c r="A74" s="35"/>
      <c r="B74" s="35"/>
      <c r="D74" s="1266" t="s">
        <v>1197</v>
      </c>
      <c r="E74" s="1266"/>
      <c r="F74" s="1266"/>
    </row>
    <row r="75" spans="1:7">
      <c r="A75" s="35"/>
      <c r="B75" s="35"/>
    </row>
    <row r="76" spans="1:7" ht="13">
      <c r="A76" s="176"/>
      <c r="B76" s="468" t="s">
        <v>308</v>
      </c>
      <c r="D76" s="1266" t="s">
        <v>1171</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4"/>
      <c r="E82" s="474"/>
      <c r="F82" s="474"/>
    </row>
    <row r="83" spans="1:6" ht="14.5" customHeight="1">
      <c r="A83" s="176"/>
      <c r="B83" s="468" t="s">
        <v>308</v>
      </c>
      <c r="D83" s="1275" t="s">
        <v>1270</v>
      </c>
      <c r="E83" s="1275"/>
      <c r="F83" s="1275"/>
    </row>
    <row r="84" spans="1:6" ht="13">
      <c r="A84" s="176"/>
      <c r="B84" s="176"/>
      <c r="D84" s="1275"/>
      <c r="E84" s="1275"/>
      <c r="F84" s="1275"/>
    </row>
    <row r="85" spans="1:6" ht="13">
      <c r="A85" s="176"/>
      <c r="B85" s="176"/>
      <c r="D85" s="1275"/>
      <c r="E85" s="1275"/>
      <c r="F85" s="1275"/>
    </row>
    <row r="86" spans="1:6" ht="13">
      <c r="A86" s="176"/>
      <c r="B86" s="176"/>
      <c r="D86" s="1275"/>
      <c r="E86" s="1275"/>
      <c r="F86" s="1275"/>
    </row>
    <row r="87" spans="1:6" ht="13">
      <c r="A87" s="176"/>
      <c r="B87" s="176"/>
      <c r="D87" s="1275"/>
      <c r="E87" s="1275"/>
      <c r="F87" s="1275"/>
    </row>
    <row r="88" spans="1:6" ht="13">
      <c r="A88" s="176"/>
      <c r="B88" s="176"/>
      <c r="D88" s="1275"/>
      <c r="E88" s="1275"/>
      <c r="F88" s="1275"/>
    </row>
    <row r="89" spans="1:6" ht="13">
      <c r="A89" s="176"/>
      <c r="B89" s="176"/>
      <c r="D89" s="1275"/>
      <c r="E89" s="1275"/>
      <c r="F89" s="1275"/>
    </row>
    <row r="90" spans="1:6" ht="13">
      <c r="A90" s="176"/>
      <c r="B90" s="176"/>
      <c r="D90" s="1275"/>
      <c r="E90" s="1275"/>
      <c r="F90" s="1275"/>
    </row>
    <row r="91" spans="1:6" ht="13">
      <c r="A91" s="176"/>
      <c r="B91" s="176"/>
      <c r="D91" s="1275"/>
      <c r="E91" s="1275"/>
      <c r="F91" s="1275"/>
    </row>
    <row r="92" spans="1:6" ht="13">
      <c r="A92" s="176"/>
      <c r="B92" s="176"/>
      <c r="D92" s="1275"/>
      <c r="E92" s="1275"/>
      <c r="F92" s="1275"/>
    </row>
    <row r="93" spans="1:6" ht="13">
      <c r="A93" s="176"/>
      <c r="B93" s="176"/>
      <c r="D93" s="1275"/>
      <c r="E93" s="1275"/>
      <c r="F93" s="1275"/>
    </row>
    <row r="94" spans="1:6" ht="13">
      <c r="A94" s="176"/>
      <c r="B94" s="176"/>
      <c r="D94" s="1275"/>
      <c r="E94" s="1275"/>
      <c r="F94" s="1275"/>
    </row>
    <row r="95" spans="1:6" ht="13">
      <c r="A95" s="176"/>
      <c r="B95" s="176"/>
      <c r="D95" s="1275"/>
      <c r="E95" s="1275"/>
      <c r="F95" s="1275"/>
    </row>
    <row r="96" spans="1:6" ht="13">
      <c r="A96" s="176"/>
      <c r="B96" s="176"/>
      <c r="D96" s="1275"/>
      <c r="E96" s="1275"/>
      <c r="F96" s="1275"/>
    </row>
    <row r="97" spans="1:11" ht="13">
      <c r="A97" s="176"/>
      <c r="B97" s="468" t="s">
        <v>308</v>
      </c>
      <c r="D97" s="1266" t="s">
        <v>1172</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4"/>
      <c r="E105" s="474"/>
      <c r="F105" s="474"/>
    </row>
    <row r="106" spans="1:11" ht="13">
      <c r="A106" s="176"/>
      <c r="B106" s="468" t="s">
        <v>308</v>
      </c>
      <c r="C106" s="179"/>
      <c r="D106" s="1303" t="s">
        <v>1173</v>
      </c>
      <c r="E106" s="1303"/>
      <c r="F106" s="1303"/>
      <c r="G106" s="183"/>
      <c r="H106" s="181"/>
      <c r="I106" s="181"/>
      <c r="J106" s="181"/>
      <c r="K106" s="181"/>
    </row>
    <row r="107" spans="1:11" ht="13">
      <c r="A107" s="176"/>
      <c r="B107" s="176"/>
      <c r="C107" s="179"/>
      <c r="D107" s="1303"/>
      <c r="E107" s="1303"/>
      <c r="F107" s="1303"/>
      <c r="G107" s="183"/>
      <c r="H107" s="181"/>
      <c r="I107" s="181"/>
      <c r="J107" s="181"/>
      <c r="K107" s="181"/>
    </row>
    <row r="108" spans="1:11" ht="13">
      <c r="A108" s="176"/>
      <c r="B108" s="176"/>
      <c r="C108" s="179"/>
      <c r="D108" s="1303"/>
      <c r="E108" s="1303"/>
      <c r="F108" s="1303"/>
      <c r="G108" s="183"/>
      <c r="H108" s="181"/>
      <c r="I108" s="181"/>
      <c r="J108" s="181"/>
      <c r="K108" s="181"/>
    </row>
    <row r="109" spans="1:11" ht="13">
      <c r="A109" s="176"/>
      <c r="B109" s="176"/>
      <c r="C109" s="179"/>
      <c r="D109" s="1303"/>
      <c r="E109" s="1303"/>
      <c r="F109" s="1303"/>
      <c r="G109" s="183"/>
      <c r="H109" s="181"/>
      <c r="I109" s="181"/>
      <c r="J109" s="181"/>
      <c r="K109" s="181"/>
    </row>
    <row r="110" spans="1:11" ht="13">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
      <c r="A114" s="176"/>
      <c r="B114" s="468" t="s">
        <v>308</v>
      </c>
      <c r="C114"/>
      <c r="D114" s="1304" t="s">
        <v>1174</v>
      </c>
      <c r="E114" s="1304"/>
      <c r="F114" s="1304"/>
      <c r="G114"/>
    </row>
    <row r="115" spans="1:7" ht="13">
      <c r="A115" s="176"/>
      <c r="B115" s="176"/>
      <c r="C115"/>
      <c r="D115" s="1304"/>
      <c r="E115" s="1304"/>
      <c r="F115" s="1304"/>
      <c r="G115"/>
    </row>
    <row r="116" spans="1:7"/>
    <row r="117" spans="1:7" ht="13">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8" t="s">
        <v>308</v>
      </c>
      <c r="D123" s="1266" t="s">
        <v>1176</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1284</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75" t="s">
        <v>1177</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308</v>
      </c>
      <c r="C159" s="218"/>
      <c r="D159" s="1275" t="s">
        <v>1178</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308</v>
      </c>
      <c r="D164" s="1280" t="s">
        <v>1179</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ht="13">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ht="13">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ht="13">
      <c r="A175" s="2"/>
      <c r="B175" s="2"/>
      <c r="D175" s="1295"/>
      <c r="E175" s="1295"/>
      <c r="F175" s="1295"/>
    </row>
    <row r="176" spans="1:7" ht="13">
      <c r="A176" s="2"/>
      <c r="B176" s="2"/>
      <c r="D176" s="1296" t="s">
        <v>1183</v>
      </c>
      <c r="E176" s="1296"/>
      <c r="F176" s="1296"/>
    </row>
    <row r="177" spans="1:7" ht="12" customHeight="1">
      <c r="A177" s="2"/>
      <c r="B177" s="2"/>
      <c r="E177" s="2"/>
    </row>
    <row r="178" spans="1:7" ht="13">
      <c r="A178" s="176"/>
      <c r="B178" s="468" t="s">
        <v>308</v>
      </c>
      <c r="D178" s="1293" t="s">
        <v>1181</v>
      </c>
      <c r="E178" s="1293"/>
      <c r="F178" s="1293"/>
    </row>
    <row r="179" spans="1:7" ht="13">
      <c r="A179" s="176"/>
      <c r="B179" s="176"/>
      <c r="D179" s="1293"/>
      <c r="E179" s="1293"/>
      <c r="F179" s="1293"/>
    </row>
    <row r="180" spans="1:7" ht="13">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3">
      <c r="A186" s="176"/>
      <c r="B186" s="468" t="s">
        <v>308</v>
      </c>
      <c r="C186" s="385"/>
      <c r="D186" s="1266" t="s">
        <v>1180</v>
      </c>
      <c r="E186" s="1266"/>
      <c r="F186" s="1266"/>
      <c r="G186" s="3"/>
    </row>
    <row r="187" spans="1:7" ht="14.5" customHeight="1">
      <c r="A187" s="176"/>
      <c r="B187"/>
      <c r="C187" s="385"/>
      <c r="D187" s="1266"/>
      <c r="E187" s="1266"/>
      <c r="F187" s="1266"/>
      <c r="G187" s="3"/>
    </row>
    <row r="188" spans="1:7" ht="13">
      <c r="A188" s="176"/>
      <c r="B188" s="385"/>
      <c r="C188" s="385"/>
      <c r="D188" s="1266"/>
      <c r="E188" s="1266"/>
      <c r="F188" s="1266"/>
      <c r="G188" s="3"/>
    </row>
    <row r="189" spans="1:7" ht="13">
      <c r="A189" s="176"/>
      <c r="B189" s="385"/>
      <c r="C189" s="385"/>
      <c r="D189" s="1266"/>
      <c r="E189" s="1266"/>
      <c r="F189" s="1266"/>
      <c r="G189" s="3"/>
    </row>
    <row r="190" spans="1:7">
      <c r="D190" s="475"/>
      <c r="E190" s="475"/>
      <c r="F190" s="475"/>
    </row>
    <row r="191" spans="1:7" ht="13">
      <c r="A191" s="1281" t="s">
        <v>1075</v>
      </c>
      <c r="B191" s="1281"/>
      <c r="C191" s="1281"/>
      <c r="D191" s="1281"/>
      <c r="E191" s="1281"/>
      <c r="F191" s="1281"/>
      <c r="G191" s="1281"/>
    </row>
    <row r="192" spans="1:7" ht="12" customHeight="1">
      <c r="D192" s="35"/>
      <c r="E192" s="35"/>
      <c r="F192" s="35"/>
    </row>
    <row r="193" spans="1:6" ht="13">
      <c r="C193" s="177"/>
      <c r="D193" s="1282" t="s">
        <v>209</v>
      </c>
      <c r="E193" s="1282"/>
      <c r="F193" s="1282"/>
    </row>
    <row r="194" spans="1:6" ht="13">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3">
      <c r="A197" s="176"/>
      <c r="B197" s="468" t="s">
        <v>308</v>
      </c>
      <c r="D197" s="1266" t="s">
        <v>1198</v>
      </c>
      <c r="E197" s="1266"/>
      <c r="F197" s="1266"/>
    </row>
    <row r="198" spans="1:6" ht="13">
      <c r="A198" s="176"/>
      <c r="B198" s="176"/>
      <c r="D198" s="1266"/>
      <c r="E198" s="1266"/>
      <c r="F198" s="1266"/>
    </row>
    <row r="199" spans="1:6"/>
    <row r="200" spans="1:6" ht="13">
      <c r="A200" s="176"/>
      <c r="B200" s="468" t="s">
        <v>308</v>
      </c>
      <c r="D200" s="1266" t="s">
        <v>1199</v>
      </c>
      <c r="E200" s="1266"/>
      <c r="F200" s="1266"/>
    </row>
    <row r="201" spans="1:6" ht="13">
      <c r="A201" s="176"/>
      <c r="B201" s="176"/>
      <c r="D201" s="1266"/>
      <c r="E201" s="1266"/>
      <c r="F201" s="1266"/>
    </row>
    <row r="202" spans="1:6" ht="13">
      <c r="A202" s="176"/>
      <c r="B202" s="176"/>
      <c r="D202" s="1266"/>
      <c r="E202" s="1266"/>
      <c r="F202" s="1266"/>
    </row>
    <row r="203" spans="1:6" ht="5.15" customHeight="1">
      <c r="A203" s="176"/>
      <c r="B203" s="176"/>
      <c r="D203" s="35"/>
      <c r="E203" s="35"/>
      <c r="F203" s="35"/>
    </row>
    <row r="204" spans="1:6" ht="13">
      <c r="A204" s="176"/>
      <c r="B204" s="176"/>
      <c r="D204" s="1266" t="s">
        <v>1200</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8" t="s">
        <v>308</v>
      </c>
      <c r="D210" s="1266" t="s">
        <v>1201</v>
      </c>
      <c r="E210" s="1266"/>
      <c r="F210" s="1266"/>
    </row>
    <row r="211" spans="1:7" ht="13">
      <c r="A211" s="176"/>
      <c r="B211" s="176"/>
      <c r="D211" s="1266"/>
      <c r="E211" s="1266"/>
      <c r="F211" s="1266"/>
    </row>
    <row r="212" spans="1:7" ht="13">
      <c r="A212" s="176"/>
      <c r="B212" s="176"/>
      <c r="D212" s="1298" t="s">
        <v>910</v>
      </c>
      <c r="E212" s="1298"/>
      <c r="F212" s="1298"/>
    </row>
    <row r="213" spans="1:7" ht="13">
      <c r="A213" s="176"/>
      <c r="B213" s="176"/>
      <c r="D213" s="35"/>
      <c r="E213" s="35"/>
      <c r="F213" s="35"/>
    </row>
    <row r="214" spans="1:7" ht="14.5" customHeight="1">
      <c r="A214" s="176"/>
      <c r="B214" s="468" t="s">
        <v>308</v>
      </c>
      <c r="D214" s="1266" t="s">
        <v>1203</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8" t="s">
        <v>308</v>
      </c>
      <c r="D220" s="1266" t="s">
        <v>1202</v>
      </c>
      <c r="E220" s="1266"/>
      <c r="F220" s="1266"/>
    </row>
    <row r="221" spans="1:7" ht="13">
      <c r="A221" s="176"/>
      <c r="B221" s="176"/>
      <c r="D221" s="1266"/>
      <c r="E221" s="1266"/>
      <c r="F221" s="1266"/>
    </row>
    <row r="222" spans="1:7">
      <c r="D222" s="19"/>
    </row>
    <row r="223" spans="1:7" ht="13">
      <c r="A223" s="1281" t="s">
        <v>1076</v>
      </c>
      <c r="B223" s="1281"/>
      <c r="C223" s="1281"/>
      <c r="D223" s="1281"/>
      <c r="E223" s="1281"/>
      <c r="F223" s="1281"/>
      <c r="G223" s="1281"/>
    </row>
    <row r="224" spans="1:7">
      <c r="D224" s="19"/>
    </row>
    <row r="225" spans="1:6" ht="13">
      <c r="C225" s="177"/>
      <c r="D225" s="1282" t="s">
        <v>1205</v>
      </c>
      <c r="E225" s="1282"/>
      <c r="F225" s="1282"/>
    </row>
    <row r="226" spans="1:6" ht="13">
      <c r="A226" s="172"/>
      <c r="B226" s="172"/>
      <c r="C226" s="172"/>
      <c r="D226" s="35"/>
      <c r="E226" s="35"/>
      <c r="F226" s="35"/>
    </row>
    <row r="227" spans="1:6" ht="13">
      <c r="A227" s="175"/>
      <c r="B227" s="175"/>
      <c r="C227" s="175"/>
      <c r="D227" s="1282" t="s">
        <v>270</v>
      </c>
      <c r="E227" s="1282"/>
      <c r="F227" s="1282"/>
    </row>
    <row r="228" spans="1:6" ht="13">
      <c r="A228" s="176"/>
      <c r="B228" s="468" t="s">
        <v>308</v>
      </c>
      <c r="D228" s="1284" t="s">
        <v>1206</v>
      </c>
      <c r="E228" s="1284"/>
      <c r="F228" s="1284"/>
    </row>
    <row r="229" spans="1:6" ht="13">
      <c r="A229" s="176"/>
      <c r="B229" s="176"/>
      <c r="D229" s="1284"/>
      <c r="E229" s="1284"/>
      <c r="F229" s="1284"/>
    </row>
    <row r="230" spans="1:6">
      <c r="D230" s="35"/>
      <c r="E230" s="35"/>
      <c r="F230" s="35"/>
    </row>
    <row r="231" spans="1:6" ht="14.5" customHeight="1">
      <c r="A231" s="176"/>
      <c r="B231" s="468" t="s">
        <v>308</v>
      </c>
      <c r="D231" s="1266" t="s">
        <v>1207</v>
      </c>
      <c r="E231" s="1266"/>
      <c r="F231" s="1266"/>
    </row>
    <row r="232" spans="1:6">
      <c r="D232" s="1266"/>
      <c r="E232" s="1266"/>
      <c r="F232" s="1266"/>
    </row>
    <row r="233" spans="1:6" ht="13">
      <c r="D233" s="1285" t="s">
        <v>902</v>
      </c>
      <c r="E233" s="1285"/>
      <c r="F233" s="1285"/>
    </row>
    <row r="234" spans="1:6">
      <c r="D234" s="35"/>
      <c r="E234" s="35"/>
      <c r="F234" s="35"/>
    </row>
    <row r="235" spans="1:6" ht="1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ht="13">
      <c r="A245" s="1281" t="s">
        <v>1077</v>
      </c>
      <c r="B245" s="1281"/>
      <c r="C245" s="1281"/>
      <c r="D245" s="1281"/>
      <c r="E245" s="1281"/>
      <c r="F245" s="1281"/>
      <c r="G245" s="1281"/>
    </row>
    <row r="246" spans="1:7">
      <c r="D246" s="178"/>
      <c r="E246" s="35"/>
      <c r="F246" s="35"/>
    </row>
    <row r="247" spans="1:7" ht="13">
      <c r="C247" s="172"/>
      <c r="D247" s="1299" t="s">
        <v>1210</v>
      </c>
      <c r="E247" s="1299"/>
      <c r="F247" s="1299"/>
    </row>
    <row r="248" spans="1:7" ht="13">
      <c r="C248" s="172"/>
      <c r="D248" s="1299"/>
      <c r="E248" s="1299"/>
      <c r="F248" s="1299"/>
    </row>
    <row r="249" spans="1:7" ht="13">
      <c r="A249" s="175"/>
      <c r="B249" s="175"/>
      <c r="C249" s="175"/>
      <c r="D249" s="2"/>
      <c r="E249" s="3"/>
      <c r="F249" s="3"/>
    </row>
    <row r="250" spans="1:7" ht="13">
      <c r="C250" s="175"/>
      <c r="D250" s="1282" t="s">
        <v>210</v>
      </c>
      <c r="E250" s="1282"/>
      <c r="F250" s="1282"/>
    </row>
    <row r="251" spans="1:7" ht="15.75" customHeight="1">
      <c r="A251" s="176"/>
      <c r="B251" s="176"/>
      <c r="D251" s="1288" t="s">
        <v>1211</v>
      </c>
      <c r="E251" s="1288"/>
      <c r="F251" s="1288"/>
    </row>
    <row r="252" spans="1:7">
      <c r="E252" s="35"/>
      <c r="F252" s="35"/>
    </row>
    <row r="253" spans="1:7" ht="13">
      <c r="A253" s="176"/>
      <c r="B253" s="468" t="s">
        <v>308</v>
      </c>
      <c r="D253" s="1266" t="s">
        <v>1212</v>
      </c>
      <c r="E253" s="1266"/>
      <c r="F253" s="1266"/>
    </row>
    <row r="254" spans="1:7" ht="13">
      <c r="A254" s="176"/>
      <c r="B254" s="176"/>
      <c r="D254" s="1266"/>
      <c r="E254" s="1266"/>
      <c r="F254" s="1266"/>
    </row>
    <row r="255" spans="1:7">
      <c r="D255" s="35"/>
      <c r="E255" s="35"/>
      <c r="F255" s="35"/>
    </row>
    <row r="256" spans="1:7" ht="13">
      <c r="A256" s="176"/>
      <c r="B256" s="468" t="s">
        <v>308</v>
      </c>
      <c r="D256" s="1266" t="s">
        <v>1213</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8" t="s">
        <v>308</v>
      </c>
      <c r="D260" s="1266" t="s">
        <v>1214</v>
      </c>
      <c r="E260" s="1266"/>
      <c r="F260" s="1266"/>
    </row>
    <row r="261" spans="1:7" ht="13">
      <c r="A261" s="176"/>
      <c r="B261" s="176"/>
      <c r="D261" s="1266"/>
      <c r="E261" s="1266"/>
      <c r="F261" s="1266"/>
    </row>
    <row r="262" spans="1:7" ht="13">
      <c r="A262" s="13"/>
      <c r="B262" s="13"/>
      <c r="E262" s="35"/>
      <c r="F262" s="35"/>
    </row>
    <row r="263" spans="1:7" ht="13">
      <c r="A263" s="1281" t="s">
        <v>1078</v>
      </c>
      <c r="B263" s="1281"/>
      <c r="C263" s="1281"/>
      <c r="D263" s="1281"/>
      <c r="E263" s="1281"/>
      <c r="F263" s="1281"/>
      <c r="G263" s="1281"/>
    </row>
    <row r="264" spans="1:7" ht="13">
      <c r="A264" s="13"/>
      <c r="B264" s="13"/>
      <c r="D264" s="35"/>
      <c r="E264" s="35"/>
      <c r="F264" s="35"/>
    </row>
    <row r="265" spans="1:7" ht="13">
      <c r="C265" s="13"/>
      <c r="D265" s="1282" t="s">
        <v>691</v>
      </c>
      <c r="E265" s="1282"/>
      <c r="F265" s="1282"/>
    </row>
    <row r="266" spans="1:7" ht="13">
      <c r="C266" s="13"/>
      <c r="D266" s="1277" t="s">
        <v>1215</v>
      </c>
      <c r="E266" s="1277"/>
      <c r="F266" s="1277"/>
    </row>
    <row r="267" spans="1:7" ht="13">
      <c r="C267" s="13"/>
      <c r="D267" s="173"/>
    </row>
    <row r="268" spans="1:7">
      <c r="B268" s="468" t="s">
        <v>308</v>
      </c>
      <c r="D268" s="1277" t="s">
        <v>1216</v>
      </c>
      <c r="E268" s="1277"/>
      <c r="F268" s="1277"/>
    </row>
    <row r="269" spans="1:7" ht="13">
      <c r="A269" s="176"/>
      <c r="B269" s="176"/>
      <c r="D269" s="341"/>
      <c r="E269" s="342"/>
      <c r="F269" s="342"/>
    </row>
    <row r="270" spans="1:7" ht="13.15" customHeight="1">
      <c r="B270" s="468" t="s">
        <v>308</v>
      </c>
      <c r="D270" s="1286" t="s">
        <v>1217</v>
      </c>
      <c r="E270" s="1286"/>
      <c r="F270" s="1286"/>
    </row>
    <row r="271" spans="1:7" ht="13">
      <c r="A271" s="176"/>
      <c r="B271" s="176"/>
      <c r="D271" s="1286"/>
      <c r="E271" s="1286"/>
      <c r="F271" s="1286"/>
    </row>
    <row r="272" spans="1:7" ht="13">
      <c r="A272" s="176"/>
      <c r="B272" s="176"/>
      <c r="D272" s="1286"/>
      <c r="E272" s="1286"/>
      <c r="F272" s="1286"/>
    </row>
    <row r="273" spans="1:6" ht="13">
      <c r="A273" s="176"/>
      <c r="B273" s="176"/>
      <c r="D273" s="1286"/>
      <c r="E273" s="1286"/>
      <c r="F273" s="1286"/>
    </row>
    <row r="274" spans="1:6" ht="13">
      <c r="A274" s="176"/>
      <c r="B274" s="176"/>
      <c r="D274" s="1286"/>
      <c r="E274" s="1286"/>
      <c r="F274" s="1286"/>
    </row>
    <row r="275" spans="1:6" ht="13">
      <c r="A275" s="176"/>
      <c r="B275" s="176"/>
      <c r="D275" s="341"/>
      <c r="E275" s="342"/>
      <c r="F275" s="342"/>
    </row>
    <row r="276" spans="1:6" ht="13.15" customHeight="1">
      <c r="B276" s="468" t="s">
        <v>308</v>
      </c>
      <c r="D276" s="1286" t="s">
        <v>1218</v>
      </c>
      <c r="E276" s="1286"/>
      <c r="F276" s="1286"/>
    </row>
    <row r="277" spans="1:6">
      <c r="D277" s="1286"/>
      <c r="E277" s="1286"/>
      <c r="F277" s="1286"/>
    </row>
    <row r="278" spans="1:6" ht="13">
      <c r="A278" s="176"/>
      <c r="B278" s="176"/>
      <c r="D278" s="341"/>
      <c r="E278" s="342"/>
      <c r="F278" s="342"/>
    </row>
    <row r="279" spans="1:6">
      <c r="B279" s="468" t="s">
        <v>308</v>
      </c>
      <c r="D279" s="1277" t="s">
        <v>1219</v>
      </c>
      <c r="E279" s="1277"/>
      <c r="F279" s="1277"/>
    </row>
    <row r="280" spans="1:6">
      <c r="E280" s="35"/>
      <c r="F280" s="35"/>
    </row>
    <row r="281" spans="1:6" ht="13">
      <c r="A281" s="176"/>
      <c r="B281" s="468" t="s">
        <v>308</v>
      </c>
      <c r="D281" s="1266" t="s">
        <v>1220</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 thickTop="1">
      <c r="D315" s="1290" t="s">
        <v>1223</v>
      </c>
      <c r="E315" s="1290"/>
      <c r="F315" s="1290"/>
      <c r="G315"/>
    </row>
    <row r="316" spans="1:7">
      <c r="A316" s="218"/>
      <c r="B316" s="218"/>
      <c r="C316" s="218"/>
      <c r="D316" s="220"/>
      <c r="E316" s="220"/>
      <c r="F316" s="35"/>
      <c r="G316"/>
    </row>
    <row r="317" spans="1:7" ht="13">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
      <c r="A367" s="176"/>
      <c r="B367" s="468" t="s">
        <v>308</v>
      </c>
      <c r="C367" s="218"/>
      <c r="D367" s="1275" t="s">
        <v>1230</v>
      </c>
      <c r="E367" s="1275"/>
      <c r="F367" s="1275"/>
      <c r="G367"/>
    </row>
    <row r="368" spans="1:7" ht="13">
      <c r="A368" s="346"/>
      <c r="B368" s="346"/>
      <c r="C368" s="218"/>
      <c r="D368" s="1275"/>
      <c r="E368" s="1275"/>
      <c r="F368" s="1275"/>
      <c r="G368"/>
    </row>
    <row r="369" spans="1:7" ht="13">
      <c r="A369" s="346"/>
      <c r="B369" s="346"/>
      <c r="C369" s="218"/>
      <c r="D369" s="1275"/>
      <c r="E369" s="1275"/>
      <c r="F369" s="1275"/>
      <c r="G369"/>
    </row>
    <row r="370" spans="1:7" ht="13">
      <c r="A370" s="346"/>
      <c r="B370" s="346"/>
      <c r="C370" s="218"/>
      <c r="D370" s="1275"/>
      <c r="E370" s="1275"/>
      <c r="F370" s="1275"/>
      <c r="G370"/>
    </row>
    <row r="371" spans="1:7" ht="13">
      <c r="A371" s="346"/>
      <c r="B371" s="346"/>
      <c r="C371" s="218"/>
      <c r="D371" s="1275"/>
      <c r="E371" s="1275"/>
      <c r="F371" s="1275"/>
      <c r="G371"/>
    </row>
    <row r="372" spans="1:7">
      <c r="D372" s="35"/>
      <c r="E372" s="35"/>
      <c r="F372" s="35"/>
      <c r="G372"/>
    </row>
    <row r="373" spans="1:7" ht="13">
      <c r="A373" s="176"/>
      <c r="B373" s="468" t="s">
        <v>308</v>
      </c>
      <c r="C373" s="179"/>
      <c r="D373" s="1266" t="s">
        <v>1231</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3">
      <c r="B416" s="468" t="s">
        <v>308</v>
      </c>
      <c r="C416" s="176"/>
      <c r="D416" s="1266" t="s">
        <v>1235</v>
      </c>
      <c r="E416" s="1266"/>
      <c r="F416" s="1266"/>
      <c r="G416"/>
    </row>
    <row r="417" spans="1:7">
      <c r="D417" s="1266"/>
      <c r="E417" s="1266"/>
      <c r="F417" s="1266"/>
      <c r="G417"/>
    </row>
    <row r="418" spans="1:7">
      <c r="D418" s="35"/>
      <c r="E418" s="35"/>
      <c r="F418" s="35"/>
      <c r="G418"/>
    </row>
    <row r="419" spans="1:7" ht="13">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ht="13">
      <c r="A442" s="1281" t="s">
        <v>1079</v>
      </c>
      <c r="B442" s="1281"/>
      <c r="C442" s="1281"/>
      <c r="D442" s="1281"/>
      <c r="E442" s="1281"/>
      <c r="F442" s="1281"/>
      <c r="G442" s="1281"/>
    </row>
    <row r="443" spans="1:7">
      <c r="A443" s="35"/>
      <c r="B443" s="35"/>
    </row>
    <row r="444" spans="1:7" ht="13">
      <c r="D444" s="1278" t="s">
        <v>896</v>
      </c>
      <c r="E444" s="1278"/>
      <c r="F444" s="1278"/>
    </row>
    <row r="445" spans="1:7" ht="13">
      <c r="A445" s="176"/>
      <c r="B445" s="176"/>
      <c r="D445" s="1279" t="s">
        <v>1239</v>
      </c>
      <c r="E445" s="1279"/>
      <c r="F445" s="1279"/>
    </row>
    <row r="446" spans="1:7" ht="13">
      <c r="A446" s="176"/>
      <c r="B446" s="176"/>
      <c r="D446" s="481"/>
      <c r="E446" s="3"/>
      <c r="F446" s="3"/>
    </row>
    <row r="447" spans="1:7" ht="13">
      <c r="A447" s="176"/>
      <c r="B447" s="468" t="s">
        <v>308</v>
      </c>
      <c r="D447" s="1275" t="s">
        <v>1240</v>
      </c>
      <c r="E447" s="1275"/>
      <c r="F447" s="1275"/>
    </row>
    <row r="448" spans="1:7" ht="13">
      <c r="A448" s="176"/>
      <c r="B448" s="176"/>
      <c r="D448" s="1275"/>
      <c r="E448" s="1275"/>
      <c r="F448" s="1275"/>
    </row>
    <row r="449" spans="1:7" ht="13">
      <c r="A449" s="176"/>
      <c r="B449" s="176"/>
      <c r="D449" s="118"/>
      <c r="E449" s="3"/>
      <c r="F449" s="3"/>
    </row>
    <row r="450" spans="1:7">
      <c r="B450" s="468" t="s">
        <v>308</v>
      </c>
      <c r="D450" s="1280" t="s">
        <v>1241</v>
      </c>
      <c r="E450" s="1280"/>
      <c r="F450" s="1280"/>
    </row>
    <row r="451" spans="1:7" ht="13">
      <c r="A451" s="176"/>
      <c r="D451" s="1280"/>
      <c r="E451" s="1280"/>
      <c r="F451" s="1280"/>
    </row>
    <row r="452" spans="1:7" ht="13">
      <c r="A452" s="176"/>
      <c r="B452" s="176"/>
      <c r="D452" s="1280"/>
      <c r="E452" s="1280"/>
      <c r="F452" s="1280"/>
    </row>
    <row r="453" spans="1:7" ht="13">
      <c r="A453" s="176"/>
      <c r="B453" s="176"/>
      <c r="D453" s="1280"/>
      <c r="E453" s="1280"/>
      <c r="F453" s="1280"/>
    </row>
    <row r="454" spans="1:7">
      <c r="D454" s="3"/>
      <c r="E454" s="3"/>
      <c r="F454" s="3"/>
      <c r="G454"/>
    </row>
    <row r="455" spans="1:7" ht="13">
      <c r="A455" s="176"/>
      <c r="B455" s="468" t="s">
        <v>308</v>
      </c>
      <c r="D455" s="1266" t="s">
        <v>1242</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8" t="s">
        <v>308</v>
      </c>
      <c r="D459" s="1277" t="s">
        <v>1243</v>
      </c>
      <c r="E459" s="1277"/>
      <c r="F459" s="1277"/>
      <c r="G459"/>
    </row>
    <row r="460" spans="1:7" ht="13">
      <c r="A460" s="176"/>
      <c r="B460" s="176"/>
      <c r="D460" s="118"/>
      <c r="E460" s="3"/>
      <c r="F460" s="3"/>
      <c r="G460"/>
    </row>
    <row r="461" spans="1:7" ht="13">
      <c r="A461" s="176"/>
      <c r="B461" s="468" t="s">
        <v>308</v>
      </c>
      <c r="D461" s="1266" t="s">
        <v>1244</v>
      </c>
      <c r="E461" s="1266"/>
      <c r="F461" s="1266"/>
      <c r="G461"/>
    </row>
    <row r="462" spans="1:7" ht="13">
      <c r="A462" s="176"/>
      <c r="D462" s="1266"/>
      <c r="E462" s="1266"/>
      <c r="F462" s="1266"/>
      <c r="G462"/>
    </row>
    <row r="463" spans="1:7" ht="13">
      <c r="A463" s="13"/>
      <c r="B463" s="13"/>
      <c r="D463" s="481"/>
      <c r="E463" s="3"/>
      <c r="F463" s="3"/>
      <c r="G463"/>
    </row>
    <row r="464" spans="1:7" ht="13">
      <c r="A464" s="13"/>
      <c r="B464" s="468" t="s">
        <v>308</v>
      </c>
      <c r="D464" s="1277" t="s">
        <v>1245</v>
      </c>
      <c r="E464" s="1277"/>
      <c r="F464" s="1277"/>
      <c r="G464"/>
    </row>
    <row r="465" spans="1:7" ht="13">
      <c r="A465" s="176"/>
      <c r="B465" s="176"/>
      <c r="D465" s="35"/>
    </row>
    <row r="466" spans="1:7" ht="13">
      <c r="A466" s="1281" t="s">
        <v>1080</v>
      </c>
      <c r="B466" s="1281"/>
      <c r="C466" s="1281"/>
      <c r="D466" s="1281"/>
      <c r="E466" s="1281"/>
      <c r="F466" s="1281"/>
      <c r="G466" s="1281"/>
    </row>
    <row r="467" spans="1:7" ht="12" customHeight="1">
      <c r="A467" s="176"/>
      <c r="B467" s="176"/>
      <c r="D467" s="35"/>
    </row>
    <row r="468" spans="1:7" ht="13">
      <c r="C468" s="172"/>
      <c r="D468" s="1282" t="s">
        <v>803</v>
      </c>
      <c r="E468" s="1282"/>
      <c r="F468" s="1282"/>
    </row>
    <row r="469" spans="1:7" ht="13.15" customHeight="1">
      <c r="A469" s="175"/>
      <c r="B469" s="175"/>
      <c r="C469" s="175"/>
      <c r="D469" s="1283" t="s">
        <v>1123</v>
      </c>
      <c r="E469" s="1283"/>
      <c r="F469" s="1283"/>
    </row>
    <row r="470" spans="1:7" ht="13">
      <c r="A470" s="175"/>
      <c r="B470" s="175"/>
      <c r="C470" s="175"/>
      <c r="D470" s="1283"/>
      <c r="E470" s="1283"/>
      <c r="F470" s="1283"/>
    </row>
    <row r="471" spans="1:7" ht="13">
      <c r="A471" s="175"/>
      <c r="B471" s="175"/>
      <c r="C471" s="175"/>
      <c r="D471" s="1283"/>
      <c r="E471" s="1283"/>
      <c r="F471" s="1283"/>
    </row>
    <row r="472" spans="1:7" ht="13">
      <c r="A472" s="175"/>
      <c r="B472" s="175"/>
      <c r="C472" s="175"/>
      <c r="D472" s="1283"/>
      <c r="E472" s="1283"/>
      <c r="F472" s="1283"/>
    </row>
    <row r="473" spans="1:7" ht="13">
      <c r="A473" s="175"/>
      <c r="B473" s="175"/>
      <c r="C473" s="175"/>
      <c r="D473" s="1283"/>
      <c r="E473" s="1283"/>
      <c r="F473" s="1283"/>
    </row>
    <row r="474" spans="1:7" ht="13">
      <c r="A474" s="175"/>
      <c r="B474" s="175"/>
      <c r="C474" s="175"/>
      <c r="D474" s="326"/>
      <c r="F474" s="35"/>
    </row>
    <row r="475" spans="1:7" ht="14.5" customHeight="1">
      <c r="A475" s="176"/>
      <c r="B475" s="468" t="s">
        <v>308</v>
      </c>
      <c r="C475" s="175"/>
      <c r="D475" s="1297" t="s">
        <v>1114</v>
      </c>
      <c r="E475" s="1297"/>
      <c r="F475" s="1297"/>
    </row>
    <row r="476" spans="1:7" ht="13">
      <c r="A476" s="175"/>
      <c r="B476" s="175"/>
      <c r="C476" s="175"/>
      <c r="D476" s="1297"/>
      <c r="E476" s="1297"/>
      <c r="F476" s="1297"/>
    </row>
    <row r="477" spans="1:7" ht="13">
      <c r="A477" s="175"/>
      <c r="B477" s="175"/>
      <c r="C477" s="175"/>
      <c r="D477" s="1297"/>
      <c r="E477" s="1297"/>
      <c r="F477" s="1297"/>
    </row>
    <row r="478" spans="1:7" ht="13">
      <c r="A478" s="175"/>
      <c r="B478" s="175"/>
      <c r="C478" s="175"/>
      <c r="D478" s="1297"/>
      <c r="E478" s="1297"/>
      <c r="F478" s="1297"/>
    </row>
    <row r="479" spans="1:7" ht="13">
      <c r="A479" s="175"/>
      <c r="B479" s="175"/>
      <c r="C479" s="175"/>
      <c r="D479" s="1297"/>
      <c r="E479" s="1297"/>
      <c r="F479" s="1297"/>
    </row>
    <row r="480" spans="1:7" ht="13">
      <c r="A480" s="175"/>
      <c r="B480" s="175"/>
      <c r="C480" s="175"/>
      <c r="D480" s="220"/>
      <c r="F480" s="35"/>
    </row>
    <row r="481" spans="1:6" ht="14.5" customHeight="1">
      <c r="A481" s="176"/>
      <c r="B481" s="468" t="s">
        <v>308</v>
      </c>
      <c r="C481" s="175"/>
      <c r="D481" s="1297" t="s">
        <v>1117</v>
      </c>
      <c r="E481" s="1297"/>
      <c r="F481" s="1297"/>
    </row>
    <row r="482" spans="1:6" ht="13">
      <c r="A482" s="175"/>
      <c r="B482" s="175"/>
      <c r="C482" s="175"/>
      <c r="D482" s="1297"/>
      <c r="E482" s="1297"/>
      <c r="F482" s="1297"/>
    </row>
    <row r="483" spans="1:6" ht="13">
      <c r="A483" s="175"/>
      <c r="B483" s="175"/>
      <c r="C483" s="175"/>
      <c r="D483" s="1297"/>
      <c r="E483" s="1297"/>
      <c r="F483" s="1297"/>
    </row>
    <row r="484" spans="1:6" ht="13">
      <c r="A484" s="175"/>
      <c r="B484" s="175"/>
      <c r="C484" s="175"/>
      <c r="D484" s="1297"/>
      <c r="E484" s="1297"/>
      <c r="F484" s="1297"/>
    </row>
    <row r="485" spans="1:6" ht="10" customHeight="1">
      <c r="A485" s="175"/>
      <c r="B485" s="175"/>
      <c r="C485" s="175"/>
      <c r="D485" s="220"/>
      <c r="F485" s="35"/>
    </row>
    <row r="486" spans="1:6" ht="14.5" customHeight="1">
      <c r="A486" s="176"/>
      <c r="B486" s="468" t="s">
        <v>308</v>
      </c>
      <c r="C486" s="175"/>
      <c r="D486" s="1297" t="s">
        <v>1115</v>
      </c>
      <c r="E486" s="1297"/>
      <c r="F486" s="1297"/>
    </row>
    <row r="487" spans="1:6" ht="13">
      <c r="A487" s="175"/>
      <c r="B487" s="175"/>
      <c r="C487" s="175"/>
      <c r="D487" s="1297"/>
      <c r="E487" s="1297"/>
      <c r="F487" s="1297"/>
    </row>
    <row r="488" spans="1:6" ht="13">
      <c r="A488" s="175"/>
      <c r="B488" s="175"/>
      <c r="C488" s="175"/>
      <c r="D488" s="1297"/>
      <c r="E488" s="1297"/>
      <c r="F488" s="1297"/>
    </row>
    <row r="489" spans="1:6" ht="13">
      <c r="A489" s="175"/>
      <c r="B489" s="175"/>
      <c r="C489" s="175"/>
      <c r="D489" s="475"/>
      <c r="E489" s="475"/>
      <c r="F489" s="475"/>
    </row>
    <row r="490" spans="1:6" ht="14.5" customHeight="1">
      <c r="A490" s="176"/>
      <c r="B490" s="468" t="s">
        <v>308</v>
      </c>
      <c r="C490" s="175"/>
      <c r="D490" s="1297" t="s">
        <v>1116</v>
      </c>
      <c r="E490" s="1297"/>
      <c r="F490" s="1297"/>
    </row>
    <row r="491" spans="1:6" ht="13">
      <c r="A491" s="175"/>
      <c r="B491" s="175"/>
      <c r="C491" s="175"/>
      <c r="D491" s="1297"/>
      <c r="E491" s="1297"/>
      <c r="F491" s="1297"/>
    </row>
    <row r="492" spans="1:6" ht="13">
      <c r="A492" s="175"/>
      <c r="B492" s="175"/>
      <c r="C492" s="175"/>
      <c r="D492" s="1297"/>
      <c r="E492" s="1297"/>
      <c r="F492" s="1297"/>
    </row>
    <row r="493" spans="1:6" ht="13">
      <c r="A493" s="175"/>
      <c r="B493" s="175"/>
      <c r="C493" s="175"/>
      <c r="D493" s="1297"/>
      <c r="E493" s="1297"/>
      <c r="F493" s="1297"/>
    </row>
    <row r="494" spans="1:6" ht="13">
      <c r="A494" s="175"/>
      <c r="B494" s="175"/>
      <c r="C494" s="175"/>
      <c r="D494" s="1297"/>
      <c r="E494" s="1297"/>
      <c r="F494" s="1297"/>
    </row>
    <row r="495" spans="1:6" ht="13">
      <c r="A495" s="175"/>
      <c r="B495" s="175"/>
      <c r="C495" s="175"/>
      <c r="D495" s="1297"/>
      <c r="E495" s="1297"/>
      <c r="F495" s="1297"/>
    </row>
    <row r="496" spans="1:6" ht="13">
      <c r="A496" s="175"/>
      <c r="B496" s="175"/>
      <c r="C496" s="175"/>
      <c r="D496" s="1297"/>
      <c r="E496" s="1297"/>
      <c r="F496" s="1297"/>
    </row>
    <row r="497" spans="1:7" ht="13">
      <c r="A497" s="175"/>
      <c r="B497" s="175"/>
      <c r="C497" s="175"/>
      <c r="D497" s="1297"/>
      <c r="E497" s="1297"/>
      <c r="F497" s="1297"/>
    </row>
    <row r="498" spans="1:7" ht="13">
      <c r="A498" s="175"/>
      <c r="B498" s="175"/>
      <c r="C498" s="175"/>
      <c r="D498" s="1297"/>
      <c r="E498" s="1297"/>
      <c r="F498" s="1297"/>
    </row>
    <row r="499" spans="1:7" ht="13">
      <c r="A499" s="175"/>
      <c r="B499" s="175"/>
      <c r="C499" s="175"/>
      <c r="D499" s="220"/>
      <c r="F499" s="35"/>
    </row>
    <row r="500" spans="1:7" ht="13.15" customHeight="1">
      <c r="A500" s="175"/>
      <c r="B500" s="468" t="s">
        <v>308</v>
      </c>
      <c r="C500" s="175"/>
      <c r="D500" s="1275" t="s">
        <v>1260</v>
      </c>
      <c r="E500" s="1275"/>
      <c r="F500" s="1275"/>
    </row>
    <row r="501" spans="1:7" ht="13">
      <c r="A501" s="175"/>
      <c r="B501" s="175"/>
      <c r="C501" s="175"/>
      <c r="D501" s="1275"/>
      <c r="E501" s="1275"/>
      <c r="F501" s="1275"/>
    </row>
    <row r="502" spans="1:7" ht="13">
      <c r="A502" s="175"/>
      <c r="B502" s="175"/>
      <c r="C502" s="175"/>
      <c r="D502" s="1275"/>
      <c r="E502" s="1275"/>
      <c r="F502" s="1275"/>
    </row>
    <row r="503" spans="1:7" ht="13">
      <c r="A503" s="175"/>
      <c r="B503" s="175"/>
      <c r="C503" s="175"/>
      <c r="D503" s="1275"/>
      <c r="E503" s="1275"/>
      <c r="F503" s="1275"/>
    </row>
    <row r="504" spans="1:7" ht="13">
      <c r="A504" s="175"/>
      <c r="B504" s="175"/>
      <c r="C504" s="175"/>
      <c r="D504" s="1275"/>
      <c r="E504" s="1275"/>
      <c r="F504" s="1275"/>
    </row>
    <row r="505" spans="1:7" ht="13">
      <c r="A505" s="175"/>
      <c r="B505" s="175"/>
      <c r="C505" s="175"/>
      <c r="D505" s="485"/>
      <c r="E505" s="485"/>
      <c r="F505" s="485"/>
    </row>
    <row r="506" spans="1:7" ht="1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ht="13">
      <c r="A510" s="1281" t="s">
        <v>1081</v>
      </c>
      <c r="B510" s="1281"/>
      <c r="C510" s="1281"/>
      <c r="D510" s="1281"/>
      <c r="E510" s="1281"/>
      <c r="F510" s="1281"/>
      <c r="G510" s="1281"/>
    </row>
    <row r="511" spans="1:7" ht="13">
      <c r="A511" s="35"/>
      <c r="B511" s="35"/>
      <c r="C511" s="179"/>
      <c r="F511" s="57"/>
    </row>
    <row r="512" spans="1:7">
      <c r="B512" s="1298" t="s">
        <v>449</v>
      </c>
      <c r="C512" s="1298"/>
      <c r="D512" s="1298"/>
      <c r="E512" s="1298"/>
      <c r="F512" s="1298"/>
    </row>
    <row r="513" spans="1:7">
      <c r="A513" s="35"/>
      <c r="B513" s="35"/>
      <c r="C513" s="179"/>
      <c r="D513" s="35"/>
      <c r="F513" s="35"/>
    </row>
    <row r="514" spans="1:7" ht="13">
      <c r="A514" s="1312" t="s">
        <v>1082</v>
      </c>
      <c r="B514" s="1312"/>
      <c r="C514" s="1312"/>
      <c r="D514" s="1312"/>
      <c r="E514" s="1312"/>
      <c r="F514" s="1312"/>
      <c r="G514" s="1312"/>
    </row>
    <row r="515" spans="1:7">
      <c r="A515" s="35"/>
      <c r="B515" s="35"/>
      <c r="C515" s="179"/>
      <c r="D515" s="35"/>
      <c r="F515" s="35"/>
    </row>
    <row r="516" spans="1:7" ht="13">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3">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8" t="s">
        <v>308</v>
      </c>
      <c r="C543" s="179"/>
      <c r="D543" s="1277" t="s">
        <v>1146</v>
      </c>
      <c r="E543" s="1277"/>
      <c r="F543" s="1277"/>
    </row>
    <row r="544" spans="1:7" ht="13">
      <c r="A544" s="13"/>
      <c r="B544" s="13"/>
      <c r="C544" s="179"/>
      <c r="D544" s="1277" t="s">
        <v>830</v>
      </c>
      <c r="E544" s="1277"/>
      <c r="F544" s="1277"/>
    </row>
    <row r="545" spans="1:7" ht="13">
      <c r="A545" s="13"/>
      <c r="B545" s="13"/>
      <c r="C545" s="179"/>
      <c r="D545" s="3"/>
      <c r="E545" s="1288" t="s">
        <v>1147</v>
      </c>
      <c r="F545" s="1288"/>
    </row>
    <row r="546" spans="1:7" ht="13">
      <c r="A546" s="176"/>
      <c r="B546" s="176"/>
      <c r="C546" s="179"/>
      <c r="E546" s="35"/>
      <c r="F546" s="35"/>
    </row>
    <row r="547" spans="1:7" ht="13">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8" t="s">
        <v>308</v>
      </c>
      <c r="C552" s="179"/>
      <c r="D552" s="1266" t="s">
        <v>1150</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ht="13">
      <c r="A560" s="175"/>
      <c r="B560" s="175"/>
      <c r="C560" s="175"/>
      <c r="D560" s="1280" t="s">
        <v>1099</v>
      </c>
      <c r="E560" s="1280"/>
      <c r="F560" s="1280"/>
    </row>
    <row r="561" spans="1:6" ht="13">
      <c r="A561"/>
      <c r="B561"/>
      <c r="C561" s="175"/>
      <c r="D561" s="255"/>
    </row>
    <row r="562" spans="1:6" ht="13">
      <c r="A562" s="175"/>
      <c r="B562" s="468" t="s">
        <v>308</v>
      </c>
      <c r="D562" s="1280" t="s">
        <v>903</v>
      </c>
      <c r="E562" s="1280"/>
      <c r="F562" s="1280"/>
    </row>
    <row r="563" spans="1:6" ht="13">
      <c r="A563" s="13"/>
      <c r="B563" s="13"/>
      <c r="D563" s="218"/>
    </row>
    <row r="564" spans="1:6" ht="13">
      <c r="A564" s="13"/>
      <c r="B564" s="468" t="s">
        <v>308</v>
      </c>
      <c r="D564" s="1280" t="s">
        <v>1100</v>
      </c>
      <c r="E564" s="1280"/>
      <c r="F564" s="1280"/>
    </row>
    <row r="565" spans="1:6" ht="13">
      <c r="A565" s="13"/>
      <c r="B565" s="13"/>
      <c r="D565" s="1280"/>
      <c r="E565" s="1280"/>
      <c r="F565" s="1280"/>
    </row>
    <row r="566" spans="1:6" ht="13">
      <c r="A566" s="13"/>
      <c r="B566" s="13"/>
      <c r="D566" s="1280"/>
      <c r="E566" s="1280"/>
      <c r="F566" s="1280"/>
    </row>
    <row r="567" spans="1:6" ht="13">
      <c r="A567" s="13"/>
      <c r="B567" s="13"/>
      <c r="D567" s="255"/>
    </row>
    <row r="568" spans="1:6" ht="13">
      <c r="A568" s="13"/>
      <c r="B568" s="468" t="s">
        <v>308</v>
      </c>
      <c r="D568" s="1280" t="s">
        <v>1101</v>
      </c>
      <c r="E568" s="1280"/>
      <c r="F568" s="1280"/>
    </row>
    <row r="569" spans="1:6" ht="13">
      <c r="A569" s="13"/>
      <c r="B569" s="13"/>
      <c r="D569" s="1280"/>
      <c r="E569" s="1280"/>
      <c r="F569" s="1280"/>
    </row>
    <row r="570" spans="1:6" ht="13">
      <c r="A570" s="13"/>
      <c r="B570" s="13"/>
      <c r="D570" s="1280"/>
      <c r="E570" s="1280"/>
      <c r="F570" s="1280"/>
    </row>
    <row r="571" spans="1:6" ht="13">
      <c r="A571" s="13"/>
      <c r="B571" s="13"/>
      <c r="D571" s="1280"/>
      <c r="E571" s="1280"/>
      <c r="F571" s="1280"/>
    </row>
    <row r="572" spans="1:6" ht="13">
      <c r="A572" s="13"/>
      <c r="B572" s="13"/>
      <c r="D572" s="473"/>
      <c r="E572" s="473"/>
      <c r="F572" s="473"/>
    </row>
    <row r="573" spans="1:6" ht="13">
      <c r="A573" s="13"/>
      <c r="B573" s="468" t="s">
        <v>308</v>
      </c>
      <c r="D573" s="1280" t="s">
        <v>1102</v>
      </c>
      <c r="E573" s="1280"/>
      <c r="F573" s="1280"/>
    </row>
    <row r="574" spans="1:6" ht="13">
      <c r="A574" s="13"/>
      <c r="B574" s="13"/>
      <c r="D574" s="1280"/>
      <c r="E574" s="1280"/>
      <c r="F574" s="1280"/>
    </row>
    <row r="575" spans="1:6" ht="13">
      <c r="A575" s="13"/>
      <c r="B575" s="13"/>
      <c r="D575" s="255"/>
    </row>
    <row r="576" spans="1:6" ht="13">
      <c r="A576" s="13"/>
      <c r="B576" s="468" t="s">
        <v>308</v>
      </c>
      <c r="D576" s="1280" t="s">
        <v>1103</v>
      </c>
      <c r="E576" s="1280"/>
      <c r="F576" s="1280"/>
    </row>
    <row r="577" spans="1:7" ht="13">
      <c r="A577" s="13"/>
      <c r="B577" s="13"/>
      <c r="D577" s="1280"/>
      <c r="E577" s="1280"/>
      <c r="F577" s="1280"/>
    </row>
    <row r="578" spans="1:7" ht="13">
      <c r="A578" s="13"/>
      <c r="B578" s="13"/>
      <c r="D578" s="255"/>
    </row>
    <row r="579" spans="1:7" ht="13">
      <c r="A579" s="176"/>
      <c r="B579" s="468" t="s">
        <v>308</v>
      </c>
      <c r="D579" s="1280" t="s">
        <v>898</v>
      </c>
      <c r="E579" s="1280"/>
      <c r="F579" s="1280"/>
    </row>
    <row r="580" spans="1:7" ht="13">
      <c r="A580" s="176"/>
      <c r="B580" s="176"/>
      <c r="D580" s="255"/>
    </row>
    <row r="581" spans="1:7" ht="13">
      <c r="A581" s="176"/>
      <c r="B581" s="468" t="s">
        <v>308</v>
      </c>
      <c r="D581" s="1280" t="s">
        <v>1104</v>
      </c>
      <c r="E581" s="1280"/>
      <c r="F581" s="1280"/>
    </row>
    <row r="582" spans="1:7" ht="13">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ht="13">
      <c r="A588" s="1281" t="s">
        <v>1084</v>
      </c>
      <c r="B588" s="1281"/>
      <c r="C588" s="1281"/>
      <c r="D588" s="1281"/>
      <c r="E588" s="1281"/>
      <c r="F588" s="1281"/>
      <c r="G588" s="1281"/>
    </row>
    <row r="589" spans="1:7"/>
    <row r="590" spans="1:7" ht="13">
      <c r="D590" s="1292" t="s">
        <v>1184</v>
      </c>
      <c r="E590" s="1292"/>
      <c r="F590" s="1292"/>
    </row>
    <row r="591" spans="1:7">
      <c r="D591" s="1315" t="s">
        <v>1185</v>
      </c>
      <c r="E591" s="1315"/>
      <c r="F591" s="1315"/>
    </row>
    <row r="592" spans="1:7">
      <c r="D592" s="478"/>
      <c r="E592" s="433"/>
      <c r="F592" s="433"/>
    </row>
    <row r="593" spans="1:7" ht="13">
      <c r="A593" s="176"/>
      <c r="B593" s="468" t="s">
        <v>308</v>
      </c>
      <c r="D593" s="1293" t="s">
        <v>1186</v>
      </c>
      <c r="E593" s="1293"/>
      <c r="F593" s="1293"/>
    </row>
    <row r="594" spans="1:7">
      <c r="D594" s="1293"/>
      <c r="E594" s="1293"/>
      <c r="F594" s="1293"/>
    </row>
    <row r="595" spans="1:7">
      <c r="D595" s="1293"/>
      <c r="E595" s="1293"/>
      <c r="F595" s="1293"/>
    </row>
    <row r="596" spans="1:7"/>
    <row r="597" spans="1:7" ht="13">
      <c r="A597" s="1281" t="s">
        <v>1085</v>
      </c>
      <c r="B597" s="1281"/>
      <c r="C597" s="1281"/>
      <c r="D597" s="1281"/>
      <c r="E597" s="1281"/>
      <c r="F597" s="1281"/>
      <c r="G597" s="1281"/>
    </row>
    <row r="598" spans="1:7">
      <c r="A598" s="35"/>
      <c r="B598" s="35"/>
    </row>
    <row r="599" spans="1:7" ht="13">
      <c r="A599" s="172"/>
      <c r="B599" s="172"/>
      <c r="C599" s="172"/>
      <c r="D599" s="1316" t="s">
        <v>1187</v>
      </c>
      <c r="E599" s="1316"/>
      <c r="F599" s="1316"/>
    </row>
    <row r="600" spans="1:7" ht="13">
      <c r="A600" s="172"/>
      <c r="B600" s="172"/>
      <c r="C600" s="172"/>
      <c r="D600" s="1316"/>
      <c r="E600" s="1316"/>
      <c r="F600" s="1316"/>
    </row>
    <row r="601" spans="1:7" ht="13">
      <c r="C601" s="175"/>
      <c r="D601" s="1315" t="s">
        <v>1188</v>
      </c>
      <c r="E601" s="1315"/>
      <c r="F601" s="1315"/>
    </row>
    <row r="602" spans="1:7" ht="13">
      <c r="C602" s="175"/>
      <c r="D602" s="478"/>
      <c r="E602" s="478"/>
      <c r="F602" s="478"/>
    </row>
    <row r="603" spans="1:7" ht="13">
      <c r="A603" s="13"/>
      <c r="B603" s="468" t="s">
        <v>308</v>
      </c>
      <c r="D603" s="1315" t="s">
        <v>433</v>
      </c>
      <c r="E603" s="1315"/>
      <c r="F603" s="1315"/>
    </row>
    <row r="604" spans="1:7" ht="13">
      <c r="C604" s="180"/>
      <c r="E604"/>
    </row>
    <row r="605" spans="1:7" ht="13">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ht="13">
      <c r="C609" s="180"/>
      <c r="D609" s="1291"/>
      <c r="E609" s="1291"/>
      <c r="F609" s="1291"/>
    </row>
    <row r="610" spans="1:7" ht="13">
      <c r="C610" s="180"/>
    </row>
    <row r="611" spans="1:7" ht="13">
      <c r="B611" s="468" t="s">
        <v>308</v>
      </c>
      <c r="C611" s="180"/>
      <c r="D611" s="1291" t="s">
        <v>1191</v>
      </c>
      <c r="E611" s="1291"/>
      <c r="F611" s="1291"/>
    </row>
    <row r="612" spans="1:7" ht="13">
      <c r="C612" s="180"/>
      <c r="D612" s="1291"/>
      <c r="E612" s="1291"/>
      <c r="F612" s="1291"/>
    </row>
    <row r="613" spans="1:7" ht="13">
      <c r="C613" s="180"/>
    </row>
    <row r="614" spans="1:7" ht="13">
      <c r="A614" s="1281" t="s">
        <v>1086</v>
      </c>
      <c r="B614" s="1281"/>
      <c r="C614" s="1281"/>
      <c r="D614" s="1281"/>
      <c r="E614" s="1281"/>
      <c r="F614" s="1281"/>
      <c r="G614" s="1281"/>
    </row>
    <row r="615" spans="1:7" ht="13">
      <c r="A615" s="172"/>
      <c r="B615" s="172"/>
      <c r="C615" s="172"/>
    </row>
    <row r="616" spans="1:7" ht="13">
      <c r="C616" s="13"/>
      <c r="D616" s="1292" t="s">
        <v>1192</v>
      </c>
      <c r="E616" s="1292"/>
      <c r="F616" s="1292"/>
    </row>
    <row r="617" spans="1:7" ht="13">
      <c r="A617" s="13"/>
      <c r="B617" s="13"/>
      <c r="D617" s="2"/>
    </row>
    <row r="618" spans="1:7" ht="13">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3">
      <c r="A628" s="176"/>
      <c r="B628" s="468" t="s">
        <v>308</v>
      </c>
      <c r="C628" s="179"/>
      <c r="D628" s="1293" t="s">
        <v>1195</v>
      </c>
      <c r="E628" s="1293"/>
      <c r="F628" s="1293"/>
    </row>
    <row r="629" spans="1:7" ht="13">
      <c r="A629" s="176"/>
      <c r="B629" s="176"/>
      <c r="C629" s="179"/>
      <c r="D629" s="1293"/>
      <c r="E629" s="1293"/>
      <c r="F629" s="1293"/>
    </row>
    <row r="630" spans="1:7" ht="13">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ht="13">
      <c r="A635" s="1281" t="s">
        <v>1087</v>
      </c>
      <c r="B635" s="1281"/>
      <c r="C635" s="1281"/>
      <c r="D635" s="1281"/>
      <c r="E635" s="1281"/>
      <c r="F635" s="1281"/>
      <c r="G635" s="1281"/>
    </row>
    <row r="636" spans="1:7">
      <c r="A636" s="35"/>
      <c r="B636" s="35"/>
      <c r="C636" s="179"/>
      <c r="D636" s="35"/>
      <c r="E636" s="35"/>
      <c r="F636" s="35"/>
    </row>
    <row r="637" spans="1:7" ht="13">
      <c r="C637" s="172"/>
      <c r="D637" s="1282" t="s">
        <v>1246</v>
      </c>
      <c r="E637" s="1282"/>
      <c r="F637" s="1282"/>
    </row>
    <row r="638" spans="1:7" ht="13">
      <c r="A638" s="175"/>
      <c r="B638" s="175"/>
      <c r="C638" s="175"/>
      <c r="D638" s="1277" t="s">
        <v>1247</v>
      </c>
      <c r="E638" s="1277"/>
      <c r="F638" s="1277"/>
    </row>
    <row r="639" spans="1:7" ht="13">
      <c r="A639" s="175"/>
      <c r="B639" s="175"/>
      <c r="C639" s="175"/>
      <c r="D639" s="118"/>
      <c r="E639" s="118"/>
      <c r="F639" s="118"/>
    </row>
    <row r="640" spans="1:7" ht="14.5" customHeight="1">
      <c r="A640" s="176"/>
      <c r="B640" s="468" t="s">
        <v>308</v>
      </c>
      <c r="C640" s="179"/>
      <c r="D640" s="1266" t="s">
        <v>1248</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4"/>
      <c r="E645" s="474"/>
      <c r="F645" s="474"/>
    </row>
    <row r="646" spans="1:11" ht="13">
      <c r="A646" s="176"/>
      <c r="B646" s="468" t="s">
        <v>308</v>
      </c>
      <c r="C646" s="179"/>
      <c r="D646" s="1305" t="s">
        <v>1098</v>
      </c>
      <c r="E646" s="1305"/>
      <c r="F646" s="1305"/>
    </row>
    <row r="647" spans="1:11" ht="13">
      <c r="A647" s="176"/>
      <c r="B647" s="176"/>
      <c r="C647" s="179"/>
      <c r="D647" s="1306" t="s">
        <v>1249</v>
      </c>
      <c r="E647" s="1306"/>
      <c r="F647" s="1306"/>
    </row>
    <row r="648" spans="1:11" ht="13">
      <c r="A648" s="176"/>
      <c r="B648" s="176"/>
      <c r="C648" s="179"/>
      <c r="D648" s="1306"/>
      <c r="E648" s="1306"/>
      <c r="F648" s="1306"/>
    </row>
    <row r="649" spans="1:11" ht="13">
      <c r="A649" s="176"/>
      <c r="B649" s="176"/>
      <c r="C649" s="179"/>
      <c r="D649" s="1306"/>
      <c r="E649" s="1306"/>
      <c r="F649" s="1306"/>
    </row>
    <row r="650" spans="1:11" ht="13">
      <c r="A650" s="176"/>
      <c r="B650" s="176"/>
      <c r="C650" s="179"/>
      <c r="D650" s="1306"/>
      <c r="E650" s="1306"/>
      <c r="F650" s="1306"/>
    </row>
    <row r="651" spans="1:11" ht="13">
      <c r="A651" s="176"/>
      <c r="B651" s="176"/>
      <c r="C651" s="179"/>
      <c r="D651" s="1306"/>
      <c r="E651" s="1306"/>
      <c r="F651" s="1306"/>
    </row>
    <row r="652" spans="1:11" ht="13">
      <c r="A652" s="176"/>
      <c r="B652" s="176"/>
      <c r="C652" s="179"/>
      <c r="D652" s="1307" t="s">
        <v>1250</v>
      </c>
      <c r="E652" s="1307"/>
      <c r="F652" s="1307"/>
    </row>
    <row r="653" spans="1:11">
      <c r="A653" s="179"/>
      <c r="B653" s="179"/>
      <c r="C653" s="179"/>
      <c r="D653" s="35"/>
      <c r="E653" s="35"/>
      <c r="F653" s="35"/>
    </row>
    <row r="654" spans="1:11" ht="13">
      <c r="A654" s="1281" t="s">
        <v>1088</v>
      </c>
      <c r="B654" s="1281"/>
      <c r="C654" s="1281"/>
      <c r="D654" s="1281"/>
      <c r="E654" s="1281"/>
      <c r="F654" s="1281"/>
      <c r="G654" s="1281"/>
      <c r="H654" s="181"/>
      <c r="I654" s="181"/>
      <c r="J654" s="181"/>
      <c r="K654" s="181"/>
    </row>
    <row r="655" spans="1:11" ht="13">
      <c r="A655" s="482"/>
      <c r="B655" s="482"/>
      <c r="C655" s="482"/>
      <c r="D655" s="482"/>
      <c r="E655" s="482"/>
      <c r="F655" s="482"/>
      <c r="G655" s="482"/>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77" t="s">
        <v>1124</v>
      </c>
      <c r="E658" s="1277"/>
      <c r="F658" s="1277"/>
      <c r="H658" s="181"/>
      <c r="I658" s="181"/>
      <c r="J658" s="181"/>
      <c r="K658" s="181"/>
    </row>
    <row r="659" spans="1:11" ht="13">
      <c r="A659" s="175"/>
      <c r="B659" s="175"/>
      <c r="C659" s="175"/>
      <c r="H659" s="181"/>
      <c r="I659" s="181"/>
      <c r="J659" s="181"/>
      <c r="K659" s="181"/>
    </row>
    <row r="660" spans="1:11" ht="13">
      <c r="A660" s="176"/>
      <c r="B660" s="468" t="s">
        <v>308</v>
      </c>
      <c r="C660" s="175"/>
      <c r="D660" s="1277" t="s">
        <v>899</v>
      </c>
      <c r="E660" s="1277"/>
      <c r="F660" s="1277"/>
      <c r="H660" s="181"/>
      <c r="I660" s="181"/>
      <c r="J660" s="181"/>
      <c r="K660" s="181"/>
    </row>
    <row r="661" spans="1:11" ht="13">
      <c r="A661" s="175"/>
      <c r="B661" s="175"/>
      <c r="C661" s="175"/>
      <c r="D661" s="1277" t="s">
        <v>909</v>
      </c>
      <c r="E661" s="1277"/>
      <c r="F661" s="1277"/>
      <c r="H661" s="181"/>
      <c r="I661" s="181"/>
      <c r="J661" s="181"/>
      <c r="K661" s="181"/>
    </row>
    <row r="662" spans="1:11" ht="13">
      <c r="A662" s="175"/>
      <c r="B662" s="175"/>
      <c r="C662" s="175"/>
      <c r="D662" s="3"/>
      <c r="E662" s="1276" t="s">
        <v>1125</v>
      </c>
      <c r="F662" s="1276"/>
      <c r="H662" s="181"/>
      <c r="I662" s="181"/>
      <c r="J662" s="181"/>
      <c r="K662" s="181"/>
    </row>
    <row r="663" spans="1:11" ht="13">
      <c r="A663" s="175"/>
      <c r="B663" s="175"/>
      <c r="C663" s="175"/>
      <c r="D663" s="3"/>
      <c r="E663" s="1276"/>
      <c r="F663" s="1276"/>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6" t="s">
        <v>1126</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8" t="s">
        <v>308</v>
      </c>
      <c r="C669" s="175"/>
      <c r="D669" s="1277" t="s">
        <v>937</v>
      </c>
      <c r="E669" s="1277"/>
      <c r="F669" s="1277"/>
      <c r="H669" s="181"/>
      <c r="I669" s="181"/>
      <c r="J669" s="181"/>
      <c r="K669" s="181"/>
    </row>
    <row r="670" spans="1:11" ht="13">
      <c r="A670" s="176"/>
      <c r="B670" s="176"/>
      <c r="C670" s="175"/>
      <c r="D670" s="1277" t="s">
        <v>909</v>
      </c>
      <c r="E670" s="1277"/>
      <c r="F670" s="1277"/>
      <c r="H670" s="181"/>
      <c r="I670" s="181"/>
      <c r="J670" s="181"/>
      <c r="K670" s="181"/>
    </row>
    <row r="671" spans="1:11" ht="13">
      <c r="A671" s="175"/>
      <c r="B671" s="175"/>
      <c r="C671" s="175"/>
      <c r="D671" s="3"/>
      <c r="E671" s="1288" t="s">
        <v>1127</v>
      </c>
      <c r="F671" s="1288"/>
      <c r="H671" s="181"/>
      <c r="I671" s="181"/>
      <c r="J671" s="181"/>
      <c r="K671" s="181"/>
    </row>
    <row r="672" spans="1:11" ht="13">
      <c r="A672" s="175"/>
      <c r="B672" s="175"/>
      <c r="C672" s="175"/>
      <c r="D672" s="2"/>
      <c r="H672" s="181"/>
      <c r="I672" s="181"/>
      <c r="J672" s="181"/>
      <c r="K672" s="181"/>
    </row>
    <row r="673" spans="1:11" ht="13">
      <c r="A673" s="176"/>
      <c r="B673" s="468" t="s">
        <v>308</v>
      </c>
      <c r="C673" s="175"/>
      <c r="D673" s="1266" t="s">
        <v>1137</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6" t="s">
        <v>1128</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6" t="s">
        <v>1138</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6" t="s">
        <v>1135</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6" t="s">
        <v>1136</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6" t="s">
        <v>1129</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8" t="s">
        <v>308</v>
      </c>
      <c r="C708" s="175"/>
      <c r="D708" s="1266" t="s">
        <v>1130</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8" t="s">
        <v>308</v>
      </c>
      <c r="C712" s="175"/>
      <c r="D712" s="1266" t="s">
        <v>1131</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8" t="s">
        <v>308</v>
      </c>
      <c r="C717" s="175"/>
      <c r="D717" s="1266" t="s">
        <v>1264</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310" t="s">
        <v>1132</v>
      </c>
      <c r="E724" s="1310"/>
      <c r="F724" s="1310"/>
      <c r="H724" s="181"/>
      <c r="I724" s="181"/>
      <c r="J724" s="181"/>
      <c r="K724" s="181"/>
    </row>
    <row r="725" spans="1:11" ht="13">
      <c r="A725" s="175"/>
      <c r="B725" s="175"/>
      <c r="C725" s="175"/>
      <c r="D725" s="369"/>
      <c r="H725" s="181"/>
      <c r="I725" s="181"/>
      <c r="J725" s="181"/>
      <c r="K725" s="181"/>
    </row>
    <row r="726" spans="1:11" ht="13">
      <c r="A726" s="1312" t="s">
        <v>1089</v>
      </c>
      <c r="B726" s="1312"/>
      <c r="C726" s="1312"/>
      <c r="D726" s="1312"/>
      <c r="E726" s="1312"/>
      <c r="F726" s="1312"/>
      <c r="G726" s="1312"/>
      <c r="H726" s="181"/>
      <c r="I726" s="181"/>
      <c r="J726" s="181"/>
      <c r="K726" s="181"/>
    </row>
    <row r="727" spans="1:11" ht="13">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ht="13">
      <c r="A729" s="175"/>
      <c r="B729" s="175"/>
      <c r="C729" s="175"/>
      <c r="D729" s="1309" t="s">
        <v>1106</v>
      </c>
      <c r="E729" s="1309"/>
      <c r="F729" s="1309"/>
      <c r="G729" s="183"/>
      <c r="H729" s="181"/>
      <c r="I729" s="181"/>
      <c r="J729" s="181"/>
      <c r="K729" s="181"/>
    </row>
    <row r="730" spans="1:11" ht="13">
      <c r="A730" s="175"/>
      <c r="B730" s="175"/>
      <c r="C730" s="175"/>
      <c r="G730" s="183"/>
      <c r="H730" s="181"/>
      <c r="I730" s="181"/>
      <c r="J730" s="181"/>
      <c r="K730" s="181"/>
    </row>
    <row r="731" spans="1:11" ht="13">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ht="13">
      <c r="A754" s="1281" t="s">
        <v>1112</v>
      </c>
      <c r="B754" s="1281"/>
      <c r="C754" s="1281"/>
      <c r="D754" s="1281"/>
      <c r="E754" s="1281"/>
      <c r="F754" s="1281"/>
      <c r="G754" s="1281"/>
    </row>
    <row r="755" spans="1:11" ht="13">
      <c r="A755" s="175"/>
      <c r="B755" s="175"/>
      <c r="C755" s="175"/>
      <c r="D755" s="184"/>
      <c r="F755" s="35"/>
      <c r="G755" s="183"/>
    </row>
    <row r="756" spans="1:11" ht="13">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3">
      <c r="A759" s="176"/>
      <c r="B759" s="468" t="s">
        <v>308</v>
      </c>
      <c r="D759" s="1296" t="s">
        <v>1006</v>
      </c>
      <c r="E759" s="1296"/>
      <c r="F759" s="1296"/>
      <c r="G759" s="183"/>
    </row>
    <row r="760" spans="1:11" ht="13">
      <c r="D760" s="433"/>
      <c r="E760" s="1308" t="s">
        <v>1097</v>
      </c>
      <c r="F760" s="1308"/>
      <c r="G760" s="183"/>
    </row>
    <row r="761" spans="1:11" ht="13">
      <c r="A761" s="172"/>
      <c r="B761" s="172"/>
      <c r="C761" s="172"/>
      <c r="D761" s="35"/>
      <c r="G761" s="183"/>
    </row>
    <row r="762" spans="1:11" ht="13">
      <c r="A762" s="1311" t="s">
        <v>450</v>
      </c>
      <c r="B762" s="1311"/>
      <c r="C762" s="1311"/>
      <c r="D762" s="1311"/>
      <c r="E762" s="1311"/>
      <c r="F762" s="1311"/>
      <c r="G762" s="1311"/>
    </row>
    <row r="763" spans="1:11" ht="13">
      <c r="A763" s="172"/>
      <c r="B763" s="172"/>
      <c r="C763" s="179"/>
      <c r="D763" s="183"/>
      <c r="E763" s="183"/>
      <c r="F763" s="183"/>
      <c r="G763" s="183"/>
    </row>
    <row r="764" spans="1:11">
      <c r="A764" s="35"/>
      <c r="B764" s="1309" t="s">
        <v>1005</v>
      </c>
      <c r="C764" s="1309"/>
      <c r="D764" s="1309"/>
      <c r="E764" s="1309"/>
      <c r="F764" s="1309"/>
      <c r="G764" s="183"/>
    </row>
    <row r="765" spans="1:11" ht="13">
      <c r="A765" s="13"/>
      <c r="B765" s="13"/>
      <c r="G765" s="183"/>
    </row>
    <row r="766" spans="1:11" ht="13">
      <c r="A766" s="1311" t="s">
        <v>451</v>
      </c>
      <c r="B766" s="1311"/>
      <c r="C766" s="1311"/>
      <c r="D766" s="1311"/>
      <c r="E766" s="1311"/>
      <c r="F766" s="1311"/>
      <c r="G766" s="1311"/>
    </row>
    <row r="767" spans="1:11" ht="13">
      <c r="A767" s="172"/>
      <c r="B767" s="172"/>
      <c r="C767" s="172"/>
      <c r="D767" s="178"/>
      <c r="G767" s="183"/>
    </row>
    <row r="768" spans="1:11">
      <c r="A768" s="35"/>
      <c r="B768" s="1277" t="s">
        <v>449</v>
      </c>
      <c r="C768" s="1277"/>
      <c r="D768" s="1277"/>
      <c r="E768" s="1277"/>
      <c r="F768" s="1277"/>
      <c r="G768" s="183"/>
    </row>
    <row r="769" spans="1:7" ht="13">
      <c r="A769" s="176"/>
      <c r="B769" s="176"/>
      <c r="D769" s="35"/>
      <c r="E769" s="35"/>
      <c r="F769" s="183"/>
      <c r="G769" s="183"/>
    </row>
    <row r="770" spans="1:7" ht="13">
      <c r="A770" s="1311" t="s">
        <v>452</v>
      </c>
      <c r="B770" s="1311"/>
      <c r="C770" s="1311"/>
      <c r="D770" s="1311"/>
      <c r="E770" s="1311"/>
      <c r="F770" s="1311"/>
      <c r="G770" s="1311"/>
    </row>
    <row r="771" spans="1:7" ht="13">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ht="13">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ht="13">
      <c r="A777" s="179"/>
      <c r="B777" s="179"/>
      <c r="C777" s="179"/>
      <c r="D777" s="174"/>
      <c r="F777" s="183"/>
    </row>
    <row r="778" spans="1:7" ht="13">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ht="13">
      <c r="A781" s="179"/>
      <c r="B781" s="179"/>
      <c r="C781" s="179"/>
      <c r="D781" s="174"/>
      <c r="F781" s="183"/>
    </row>
    <row r="782" spans="1:7" ht="13">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ht="13">
      <c r="D785" s="174"/>
    </row>
    <row r="786" spans="1:7" ht="13">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ht="13">
      <c r="A789" s="35"/>
      <c r="B789" s="35"/>
      <c r="D789" s="174"/>
    </row>
    <row r="790" spans="1:7" ht="13">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2" workbookViewId="0">
      <selection activeCell="A11" sqref="A11:J16"/>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7" t="s">
        <v>2060</v>
      </c>
      <c r="B2" s="1318"/>
      <c r="C2" s="1318"/>
      <c r="D2" s="1318"/>
      <c r="E2" s="1318"/>
      <c r="F2" s="1318"/>
      <c r="G2" s="1318"/>
      <c r="H2" s="1318"/>
      <c r="I2" s="1318"/>
      <c r="J2" s="1318"/>
    </row>
    <row r="3" spans="1:10" ht="15.5">
      <c r="A3" s="1321" t="s">
        <v>1378</v>
      </c>
      <c r="B3" s="1322"/>
      <c r="C3" s="1322"/>
      <c r="D3" s="1322"/>
      <c r="E3" s="1322"/>
      <c r="F3" s="1322"/>
      <c r="G3" s="1322"/>
      <c r="H3" s="1322"/>
      <c r="I3" s="1322"/>
      <c r="J3" s="1322"/>
    </row>
    <row r="4" spans="1:10" ht="12.5"/>
    <row r="5" spans="1:10" ht="12.75" customHeight="1">
      <c r="A5" s="1319" t="s">
        <v>2361</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2.5"/>
    <row r="11" spans="1:10" ht="12.75" customHeight="1">
      <c r="A11" s="1323" t="s">
        <v>2065</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8"/>
      <c r="B17" s="558"/>
      <c r="C17" s="558"/>
      <c r="D17" s="558"/>
      <c r="E17" s="558"/>
      <c r="F17" s="558"/>
      <c r="G17" s="558"/>
      <c r="H17" s="558"/>
      <c r="I17" s="558"/>
      <c r="J17" s="558"/>
    </row>
    <row r="18" spans="1:10" ht="12.5">
      <c r="A18" s="510" t="s">
        <v>2064</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2" t="s">
        <v>1296</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1297</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3" t="s">
        <v>1296</v>
      </c>
    </row>
    <row r="62" spans="1:10" ht="12.5"/>
    <row r="63" spans="1:10" ht="12.5"/>
    <row r="64" spans="1:10" ht="12.5"/>
    <row r="65" spans="1:9" ht="12.5"/>
    <row r="66" spans="1:9" ht="12.5"/>
    <row r="67" spans="1:9" ht="12.5"/>
    <row r="68" spans="1:9" ht="12.5"/>
    <row r="69" spans="1:9" ht="12.5"/>
    <row r="70" spans="1:9" ht="12.5"/>
    <row r="71" spans="1:9" ht="12.5"/>
    <row r="72" spans="1:9" ht="13">
      <c r="A72" s="1320" t="s">
        <v>2061</v>
      </c>
      <c r="B72" s="1320"/>
      <c r="C72" s="1320"/>
      <c r="D72" s="1320"/>
      <c r="E72" s="1320"/>
      <c r="F72" s="1320"/>
      <c r="G72" s="1320"/>
      <c r="H72" s="1320"/>
      <c r="I72" s="1320"/>
    </row>
    <row r="73" spans="1:9" ht="12.5">
      <c r="A73" s="1272" t="s">
        <v>2359</v>
      </c>
      <c r="B73" s="1272"/>
      <c r="C73" s="1272"/>
      <c r="D73" s="1272"/>
      <c r="E73" s="1272"/>
    </row>
    <row r="74" spans="1:9" ht="12.5">
      <c r="A74" s="1272" t="s">
        <v>2360</v>
      </c>
      <c r="B74" s="1272"/>
      <c r="C74" s="1272"/>
      <c r="D74" s="1272"/>
      <c r="E74" s="1272"/>
    </row>
    <row r="75" spans="1:9" ht="12.5">
      <c r="A75" s="1272" t="s">
        <v>2062</v>
      </c>
      <c r="B75" s="1272"/>
      <c r="C75" s="1272"/>
      <c r="D75" s="1272"/>
      <c r="E75" s="1272"/>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72" workbookViewId="0">
      <selection activeCell="D1023" sqref="D1023:F1023"/>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2581</v>
      </c>
      <c r="B2" s="1349"/>
      <c r="C2" s="1349"/>
      <c r="D2" s="1349"/>
      <c r="E2" s="1349"/>
      <c r="F2" s="1349"/>
      <c r="G2" s="1349"/>
      <c r="H2" s="1349"/>
      <c r="I2" s="1349"/>
    </row>
    <row r="3" spans="1:13">
      <c r="A3" s="1337" t="s">
        <v>2627</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2626</v>
      </c>
      <c r="B6" s="1340"/>
      <c r="C6" s="1340"/>
      <c r="D6" s="1340"/>
      <c r="E6" s="1340"/>
      <c r="F6" s="1340"/>
      <c r="G6" s="1340"/>
      <c r="I6" s="524" t="s">
        <v>2071</v>
      </c>
    </row>
    <row r="7" spans="1:13">
      <c r="A7" s="1340"/>
      <c r="B7" s="1340"/>
      <c r="C7" s="1340"/>
      <c r="D7" s="1340"/>
      <c r="E7" s="1340"/>
      <c r="F7" s="1340"/>
      <c r="G7" s="1340"/>
      <c r="I7" s="524" t="s">
        <v>2072</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5"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c r="A15" s="518"/>
      <c r="B15" s="519" t="s">
        <v>2739</v>
      </c>
      <c r="C15" s="517"/>
      <c r="D15" s="1293" t="s">
        <v>2222</v>
      </c>
      <c r="E15" s="1293"/>
      <c r="F15" s="1293"/>
      <c r="I15" s="524" t="s">
        <v>2073</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2220</v>
      </c>
      <c r="F18" s="479"/>
      <c r="I18" s="524"/>
    </row>
    <row r="19" spans="1:9">
      <c r="A19" s="517"/>
      <c r="B19" s="517"/>
      <c r="C19" s="517"/>
      <c r="I19" s="524"/>
    </row>
    <row r="20" spans="1:9">
      <c r="A20" s="518"/>
      <c r="B20" s="519" t="s">
        <v>2739</v>
      </c>
      <c r="D20" s="1293" t="s">
        <v>2223</v>
      </c>
      <c r="E20" s="1293"/>
      <c r="F20" s="1293"/>
      <c r="I20" s="524" t="s">
        <v>2074</v>
      </c>
    </row>
    <row r="21" spans="1:9">
      <c r="A21" s="518"/>
      <c r="D21" s="1293"/>
      <c r="E21" s="1293"/>
      <c r="F21" s="1293"/>
      <c r="I21" s="524"/>
    </row>
    <row r="22" spans="1:9">
      <c r="A22" s="518"/>
      <c r="D22" s="423"/>
      <c r="E22" s="96" t="s">
        <v>2219</v>
      </c>
      <c r="F22" s="423"/>
      <c r="I22" s="524"/>
    </row>
    <row r="23" spans="1:9">
      <c r="A23" s="518"/>
      <c r="B23" s="518"/>
      <c r="D23" s="480"/>
      <c r="I23" s="524"/>
    </row>
    <row r="24" spans="1:9">
      <c r="A24" s="518"/>
      <c r="B24" s="519" t="s">
        <v>2740</v>
      </c>
      <c r="D24" s="1293" t="s">
        <v>1154</v>
      </c>
      <c r="E24" s="1293"/>
      <c r="F24" s="1293"/>
      <c r="I24" s="524" t="s">
        <v>2074</v>
      </c>
    </row>
    <row r="25" spans="1:9">
      <c r="A25" s="518"/>
      <c r="B25" s="518"/>
      <c r="D25" s="1293"/>
      <c r="E25" s="1293"/>
      <c r="F25" s="1293"/>
      <c r="I25" s="524"/>
    </row>
    <row r="26" spans="1:9">
      <c r="I26" s="524"/>
    </row>
    <row r="27" spans="1:9">
      <c r="A27" s="518"/>
      <c r="B27" s="519" t="s">
        <v>2739</v>
      </c>
      <c r="D27" s="1293" t="s">
        <v>2362</v>
      </c>
      <c r="E27" s="1293"/>
      <c r="F27" s="1293"/>
      <c r="I27" s="524" t="s">
        <v>2077</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2739</v>
      </c>
      <c r="D33" s="1293" t="s">
        <v>2363</v>
      </c>
      <c r="E33" s="1293"/>
      <c r="F33" s="1293"/>
      <c r="I33" s="524" t="s">
        <v>2073</v>
      </c>
    </row>
    <row r="34" spans="1:9">
      <c r="D34" s="1293"/>
      <c r="E34" s="1293"/>
      <c r="F34" s="1293"/>
      <c r="I34" s="524"/>
    </row>
    <row r="35" spans="1:9">
      <c r="A35" s="518"/>
      <c r="B35" s="518"/>
      <c r="D35" s="481"/>
      <c r="I35" s="524"/>
    </row>
    <row r="36" spans="1:9" ht="14.5" customHeight="1">
      <c r="A36" s="518"/>
      <c r="B36" s="519" t="s">
        <v>2740</v>
      </c>
      <c r="D36" s="1293" t="s">
        <v>1321</v>
      </c>
      <c r="E36" s="1293"/>
      <c r="F36" s="1293"/>
      <c r="I36" s="524" t="s">
        <v>2144</v>
      </c>
    </row>
    <row r="37" spans="1:9">
      <c r="A37" s="518"/>
      <c r="B37" s="518"/>
      <c r="D37" s="1293"/>
      <c r="E37" s="1293"/>
      <c r="F37" s="1293"/>
      <c r="I37" s="524"/>
    </row>
    <row r="38" spans="1:9">
      <c r="A38" s="518"/>
      <c r="B38" s="518"/>
      <c r="D38" s="1293"/>
      <c r="E38" s="1293"/>
      <c r="F38" s="1293"/>
      <c r="I38" s="524"/>
    </row>
    <row r="39" spans="1:9">
      <c r="A39" s="518"/>
      <c r="B39" s="518"/>
      <c r="D39" s="1293"/>
      <c r="E39" s="1293"/>
      <c r="F39" s="1293"/>
      <c r="I39" s="524"/>
    </row>
    <row r="40" spans="1:9">
      <c r="A40" s="518"/>
      <c r="B40" s="518"/>
      <c r="I40" s="524"/>
    </row>
    <row r="41" spans="1:9">
      <c r="A41" s="518"/>
      <c r="B41" s="519" t="s">
        <v>2739</v>
      </c>
      <c r="D41" s="1293" t="s">
        <v>1158</v>
      </c>
      <c r="E41" s="1293"/>
      <c r="F41" s="1293"/>
      <c r="I41" s="524"/>
    </row>
    <row r="42" spans="1:9">
      <c r="A42" s="518"/>
      <c r="B42" s="518"/>
      <c r="D42" s="1293"/>
      <c r="E42" s="1293"/>
      <c r="F42" s="1293"/>
      <c r="I42" s="524"/>
    </row>
    <row r="43" spans="1:9">
      <c r="A43" s="518"/>
      <c r="B43" s="518"/>
      <c r="D43" s="1293"/>
      <c r="E43" s="1293"/>
      <c r="F43" s="1293"/>
      <c r="I43" s="524"/>
    </row>
    <row r="44" spans="1:9">
      <c r="A44" s="518"/>
      <c r="B44" s="518"/>
      <c r="D44" s="1293"/>
      <c r="E44" s="1293"/>
      <c r="F44" s="1293"/>
      <c r="I44" s="524"/>
    </row>
    <row r="45" spans="1:9">
      <c r="A45" s="518"/>
      <c r="B45" s="518"/>
      <c r="D45" s="1293"/>
      <c r="E45" s="1293"/>
      <c r="F45" s="1293"/>
      <c r="I45" s="524"/>
    </row>
    <row r="46" spans="1:9">
      <c r="A46" s="518"/>
      <c r="B46" s="518"/>
      <c r="D46" s="479"/>
      <c r="E46" s="479"/>
      <c r="F46" s="479"/>
      <c r="I46" s="524"/>
    </row>
    <row r="47" spans="1:9">
      <c r="A47" s="518"/>
      <c r="B47" s="519" t="s">
        <v>2740</v>
      </c>
      <c r="D47" s="1293" t="s">
        <v>1159</v>
      </c>
      <c r="E47" s="1293"/>
      <c r="F47" s="1293"/>
      <c r="I47" s="524" t="s">
        <v>2144</v>
      </c>
    </row>
    <row r="48" spans="1:9">
      <c r="A48" s="518"/>
      <c r="B48" s="518"/>
      <c r="D48" s="1293"/>
      <c r="E48" s="1293"/>
      <c r="F48" s="1293"/>
      <c r="I48" s="524"/>
    </row>
    <row r="49" spans="1:9">
      <c r="A49" s="518"/>
      <c r="B49" s="518"/>
      <c r="D49" s="1293"/>
      <c r="E49" s="1293"/>
      <c r="F49" s="1293"/>
      <c r="I49" s="524"/>
    </row>
    <row r="50" spans="1:9" ht="23.25" customHeight="1">
      <c r="A50" s="518"/>
      <c r="B50" s="518"/>
      <c r="D50" s="1293"/>
      <c r="E50" s="1293"/>
      <c r="F50" s="1293"/>
      <c r="I50" s="524"/>
    </row>
    <row r="51" spans="1:9">
      <c r="A51" s="518"/>
      <c r="B51" s="518"/>
      <c r="D51" s="480"/>
      <c r="I51" s="524"/>
    </row>
    <row r="52" spans="1:9" ht="14.5" customHeight="1">
      <c r="A52" s="518"/>
      <c r="B52" s="519" t="s">
        <v>2740</v>
      </c>
      <c r="D52" s="1293" t="s">
        <v>1160</v>
      </c>
      <c r="E52" s="1293"/>
      <c r="F52" s="1293"/>
      <c r="I52" s="524" t="s">
        <v>2144</v>
      </c>
    </row>
    <row r="53" spans="1:9">
      <c r="A53" s="518"/>
      <c r="B53" s="518"/>
      <c r="D53" s="1293"/>
      <c r="E53" s="1293"/>
      <c r="F53" s="1293"/>
      <c r="I53" s="524"/>
    </row>
    <row r="54" spans="1:9">
      <c r="A54" s="518"/>
      <c r="B54" s="518"/>
      <c r="D54" s="1293"/>
      <c r="E54" s="1293"/>
      <c r="F54" s="1293"/>
      <c r="I54" s="524"/>
    </row>
    <row r="55" spans="1:9">
      <c r="A55" s="518"/>
      <c r="B55" s="518"/>
      <c r="I55" s="524"/>
    </row>
    <row r="56" spans="1:9">
      <c r="A56" s="518"/>
      <c r="B56" s="519" t="s">
        <v>2739</v>
      </c>
      <c r="D56" s="1342" t="s">
        <v>1161</v>
      </c>
      <c r="E56" s="1342"/>
      <c r="F56" s="1342"/>
      <c r="I56" s="524"/>
    </row>
    <row r="57" spans="1:9">
      <c r="A57" s="518"/>
      <c r="B57" s="518"/>
      <c r="D57" s="1342"/>
      <c r="E57" s="1342"/>
      <c r="F57" s="1342"/>
      <c r="I57" s="524"/>
    </row>
    <row r="58" spans="1:9">
      <c r="A58" s="518"/>
      <c r="B58" s="518"/>
      <c r="D58" s="423" t="s">
        <v>2221</v>
      </c>
      <c r="E58" s="479"/>
      <c r="F58" s="479"/>
      <c r="I58" s="524"/>
    </row>
    <row r="59" spans="1:9">
      <c r="A59" s="518"/>
      <c r="B59" s="518"/>
      <c r="D59" s="479"/>
      <c r="E59" s="336" t="s">
        <v>2220</v>
      </c>
      <c r="F59" s="479"/>
      <c r="I59" s="524"/>
    </row>
    <row r="60" spans="1:9">
      <c r="D60" s="481"/>
      <c r="I60" s="524"/>
    </row>
    <row r="61" spans="1:9">
      <c r="A61" s="518"/>
      <c r="B61" s="519" t="s">
        <v>2740</v>
      </c>
      <c r="D61" s="1293" t="s">
        <v>1162</v>
      </c>
      <c r="E61" s="1293"/>
      <c r="F61" s="1293"/>
      <c r="I61" s="524" t="s">
        <v>2075</v>
      </c>
    </row>
    <row r="62" spans="1:9">
      <c r="D62" s="1293"/>
      <c r="E62" s="1293"/>
      <c r="F62" s="1293"/>
      <c r="I62" s="524"/>
    </row>
    <row r="63" spans="1:9">
      <c r="D63" s="1293"/>
      <c r="E63" s="1293"/>
      <c r="F63" s="1293"/>
      <c r="I63" s="524"/>
    </row>
    <row r="64" spans="1:9">
      <c r="I64" s="524"/>
    </row>
    <row r="65" spans="1:9">
      <c r="A65" s="518"/>
      <c r="B65" s="519" t="s">
        <v>2740</v>
      </c>
      <c r="D65" s="1293" t="s">
        <v>1163</v>
      </c>
      <c r="E65" s="1293"/>
      <c r="F65" s="1293"/>
      <c r="I65" s="524" t="s">
        <v>2076</v>
      </c>
    </row>
    <row r="66" spans="1:9">
      <c r="D66" s="1293"/>
      <c r="E66" s="1293"/>
      <c r="F66" s="1293"/>
      <c r="I66" s="524"/>
    </row>
    <row r="67" spans="1:9">
      <c r="I67" s="524"/>
    </row>
    <row r="68" spans="1:9">
      <c r="A68" s="518"/>
      <c r="B68" s="519" t="s">
        <v>2739</v>
      </c>
      <c r="D68" s="1293" t="s">
        <v>1164</v>
      </c>
      <c r="E68" s="1293"/>
      <c r="F68" s="1293"/>
      <c r="I68" s="524"/>
    </row>
    <row r="69" spans="1:9">
      <c r="D69" s="1293"/>
      <c r="E69" s="1293"/>
      <c r="F69" s="1293"/>
      <c r="I69" s="524" t="s">
        <v>2077</v>
      </c>
    </row>
    <row r="70" spans="1:9">
      <c r="D70" s="1293"/>
      <c r="E70" s="1293"/>
      <c r="F70" s="1293"/>
      <c r="I70" s="524"/>
    </row>
    <row r="71" spans="1:9">
      <c r="I71" s="524"/>
    </row>
    <row r="72" spans="1:9">
      <c r="A72" s="518"/>
      <c r="B72" s="519" t="s">
        <v>2739</v>
      </c>
      <c r="D72" s="1293" t="s">
        <v>1165</v>
      </c>
      <c r="E72" s="1293"/>
      <c r="F72" s="1293"/>
      <c r="I72" s="524" t="s">
        <v>2077</v>
      </c>
    </row>
    <row r="73" spans="1:9">
      <c r="D73" s="1293"/>
      <c r="E73" s="1293"/>
      <c r="F73" s="1293"/>
      <c r="I73" s="524"/>
    </row>
    <row r="74" spans="1:9">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5" customHeight="1">
      <c r="A80" s="518"/>
      <c r="B80" s="519" t="s">
        <v>2739</v>
      </c>
      <c r="D80" s="1293" t="s">
        <v>1354</v>
      </c>
      <c r="E80" s="1293"/>
      <c r="F80" s="1293"/>
      <c r="I80" s="524" t="s">
        <v>2078</v>
      </c>
    </row>
    <row r="81" spans="1:9">
      <c r="A81" s="518"/>
      <c r="B81" s="518"/>
      <c r="D81" s="1293"/>
      <c r="E81" s="1293"/>
      <c r="F81" s="1293"/>
      <c r="I81" s="524"/>
    </row>
    <row r="82" spans="1:9">
      <c r="A82" s="518"/>
      <c r="B82" s="518"/>
      <c r="D82" s="1293"/>
      <c r="E82" s="1293"/>
      <c r="F82" s="1293"/>
      <c r="I82" s="524"/>
    </row>
    <row r="83" spans="1:9">
      <c r="A83" s="518"/>
      <c r="B83" s="518"/>
      <c r="D83" s="1293"/>
      <c r="E83" s="1293"/>
      <c r="F83" s="1293"/>
      <c r="I83" s="524"/>
    </row>
    <row r="84" spans="1:9">
      <c r="A84" s="518"/>
      <c r="B84" s="518"/>
      <c r="D84" s="1293"/>
      <c r="E84" s="1293"/>
      <c r="F84" s="1293"/>
      <c r="I84" s="524"/>
    </row>
    <row r="85" spans="1:9">
      <c r="A85" s="518"/>
      <c r="B85" s="518"/>
      <c r="D85" s="1293"/>
      <c r="E85" s="1293"/>
      <c r="F85" s="1293"/>
      <c r="I85" s="524"/>
    </row>
    <row r="86" spans="1:9">
      <c r="A86" s="518"/>
      <c r="B86" s="518"/>
      <c r="D86" s="1293"/>
      <c r="E86" s="1293"/>
      <c r="F86" s="1293"/>
      <c r="I86" s="524"/>
    </row>
    <row r="87" spans="1:9">
      <c r="A87" s="518"/>
      <c r="B87" s="518"/>
      <c r="D87" s="1293"/>
      <c r="E87" s="1293"/>
      <c r="F87" s="1293"/>
      <c r="I87" s="524"/>
    </row>
    <row r="88" spans="1:9">
      <c r="A88" s="518"/>
      <c r="B88" s="518"/>
      <c r="D88" s="416"/>
      <c r="E88" s="416"/>
      <c r="F88" s="416"/>
      <c r="I88" s="524"/>
    </row>
    <row r="89" spans="1:9" ht="15" customHeight="1">
      <c r="A89" s="518"/>
      <c r="B89" s="519" t="s">
        <v>2739</v>
      </c>
      <c r="D89" s="1293" t="s">
        <v>1932</v>
      </c>
      <c r="E89" s="1293"/>
      <c r="F89" s="1293"/>
      <c r="I89" s="524" t="s">
        <v>2079</v>
      </c>
    </row>
    <row r="90" spans="1:9">
      <c r="A90" s="518"/>
      <c r="B90" s="518"/>
      <c r="D90" s="1293"/>
      <c r="E90" s="1293"/>
      <c r="F90" s="1293"/>
      <c r="I90" s="524"/>
    </row>
    <row r="91" spans="1:9">
      <c r="A91" s="518"/>
      <c r="B91" s="518"/>
      <c r="D91" s="479"/>
      <c r="E91" s="479"/>
      <c r="F91" s="479"/>
      <c r="I91" s="524"/>
    </row>
    <row r="92" spans="1:9">
      <c r="A92" s="518"/>
      <c r="B92" s="519" t="s">
        <v>2739</v>
      </c>
      <c r="D92" s="1293" t="s">
        <v>1935</v>
      </c>
      <c r="E92" s="1293"/>
      <c r="F92" s="1293"/>
      <c r="I92" s="524" t="s">
        <v>2080</v>
      </c>
    </row>
    <row r="93" spans="1:9">
      <c r="A93" s="518"/>
      <c r="B93" s="518"/>
      <c r="D93" s="1293"/>
      <c r="E93" s="1293"/>
      <c r="F93" s="1293"/>
      <c r="I93" s="524"/>
    </row>
    <row r="94" spans="1:9">
      <c r="A94" s="518"/>
      <c r="B94" s="518"/>
      <c r="D94" s="1293"/>
      <c r="E94" s="1293"/>
      <c r="F94" s="1293"/>
      <c r="I94" s="524"/>
    </row>
    <row r="95" spans="1:9">
      <c r="A95" s="518"/>
      <c r="B95" s="518"/>
      <c r="D95" s="479"/>
      <c r="E95" s="479"/>
      <c r="F95" s="479"/>
      <c r="I95" s="524"/>
    </row>
    <row r="96" spans="1:9">
      <c r="A96" s="518"/>
      <c r="B96" s="519" t="s">
        <v>2739</v>
      </c>
      <c r="D96" s="1293" t="s">
        <v>1934</v>
      </c>
      <c r="E96" s="1293"/>
      <c r="F96" s="1293"/>
      <c r="I96" s="524" t="s">
        <v>2125</v>
      </c>
    </row>
    <row r="97" spans="1:9" s="1022" customFormat="1">
      <c r="A97" s="1020"/>
      <c r="B97" s="1020"/>
      <c r="C97" s="1021"/>
      <c r="D97" s="1293"/>
      <c r="E97" s="1293"/>
      <c r="F97" s="1293"/>
      <c r="I97" s="1257"/>
    </row>
    <row r="98" spans="1:9">
      <c r="A98" s="518"/>
      <c r="B98" s="518"/>
      <c r="D98" s="423"/>
      <c r="E98" s="336" t="s">
        <v>2224</v>
      </c>
      <c r="F98" s="479"/>
      <c r="I98" s="524"/>
    </row>
    <row r="99" spans="1:9">
      <c r="A99" s="518"/>
      <c r="B99" s="518"/>
      <c r="D99" s="416"/>
      <c r="E99" s="416"/>
      <c r="F99" s="416"/>
      <c r="I99" s="524"/>
    </row>
    <row r="100" spans="1:9">
      <c r="A100" s="518"/>
      <c r="B100" s="519" t="s">
        <v>2740</v>
      </c>
      <c r="D100" s="1293" t="s">
        <v>1933</v>
      </c>
      <c r="E100" s="1293"/>
      <c r="F100" s="1293"/>
      <c r="I100" s="524" t="s">
        <v>2081</v>
      </c>
    </row>
    <row r="101" spans="1:9">
      <c r="A101" s="518"/>
      <c r="B101" s="518"/>
      <c r="D101" s="1293"/>
      <c r="E101" s="1293"/>
      <c r="F101" s="1293"/>
      <c r="I101" s="524"/>
    </row>
    <row r="102" spans="1:9">
      <c r="A102" s="518"/>
      <c r="B102" s="518"/>
      <c r="D102" s="479"/>
      <c r="E102" s="479"/>
      <c r="F102" s="479"/>
      <c r="I102" s="524"/>
    </row>
    <row r="103" spans="1:9" ht="14.5" customHeight="1">
      <c r="A103" s="518"/>
      <c r="B103" s="519" t="s">
        <v>2740</v>
      </c>
      <c r="D103" s="1293" t="s">
        <v>1301</v>
      </c>
      <c r="E103" s="1293"/>
      <c r="F103" s="1293"/>
      <c r="I103" s="524" t="s">
        <v>2082</v>
      </c>
    </row>
    <row r="104" spans="1:9">
      <c r="A104" s="518"/>
      <c r="B104" s="518"/>
      <c r="D104" s="1293"/>
      <c r="E104" s="1293"/>
      <c r="F104" s="1293"/>
      <c r="I104" s="524"/>
    </row>
    <row r="105" spans="1:9">
      <c r="A105" s="518"/>
      <c r="B105" s="518"/>
      <c r="D105" s="1293"/>
      <c r="E105" s="1293"/>
      <c r="F105" s="1293"/>
      <c r="I105" s="524"/>
    </row>
    <row r="106" spans="1:9">
      <c r="A106" s="518"/>
      <c r="B106" s="518"/>
      <c r="D106" s="1293"/>
      <c r="E106" s="1293"/>
      <c r="F106" s="1293"/>
      <c r="I106" s="524"/>
    </row>
    <row r="107" spans="1:9">
      <c r="A107" s="518"/>
      <c r="B107" s="518"/>
      <c r="D107" s="1293"/>
      <c r="E107" s="1293"/>
      <c r="F107" s="1293"/>
      <c r="I107" s="524"/>
    </row>
    <row r="108" spans="1:9">
      <c r="A108" s="518"/>
      <c r="B108" s="518"/>
      <c r="D108" s="1293"/>
      <c r="E108" s="1293"/>
      <c r="F108" s="1293"/>
      <c r="I108" s="524"/>
    </row>
    <row r="109" spans="1:9">
      <c r="A109" s="518"/>
      <c r="B109" s="518"/>
      <c r="D109" s="1293"/>
      <c r="E109" s="1293"/>
      <c r="F109" s="1293"/>
      <c r="I109" s="524"/>
    </row>
    <row r="110" spans="1:9">
      <c r="A110" s="518"/>
      <c r="B110" s="518"/>
      <c r="D110" s="1293"/>
      <c r="E110" s="1293"/>
      <c r="F110" s="1293"/>
      <c r="I110" s="524"/>
    </row>
    <row r="111" spans="1:9">
      <c r="A111" s="518"/>
      <c r="B111" s="518"/>
      <c r="D111" s="1293"/>
      <c r="E111" s="1293"/>
      <c r="F111" s="1293"/>
      <c r="I111" s="524"/>
    </row>
    <row r="112" spans="1:9">
      <c r="A112" s="518"/>
      <c r="B112" s="518"/>
      <c r="D112" s="1293"/>
      <c r="E112" s="1293"/>
      <c r="F112" s="1293"/>
      <c r="I112" s="524"/>
    </row>
    <row r="113" spans="1:9">
      <c r="A113" s="518"/>
      <c r="B113" s="518"/>
      <c r="D113" s="1293"/>
      <c r="E113" s="1293"/>
      <c r="F113" s="1293"/>
      <c r="I113" s="524"/>
    </row>
    <row r="114" spans="1:9">
      <c r="A114" s="518"/>
      <c r="B114" s="518"/>
      <c r="D114" s="1293"/>
      <c r="E114" s="1293"/>
      <c r="F114" s="1293"/>
      <c r="I114" s="524"/>
    </row>
    <row r="115" spans="1:9">
      <c r="A115" s="518"/>
      <c r="B115" s="518"/>
      <c r="D115" s="1293"/>
      <c r="E115" s="1293"/>
      <c r="F115" s="1293"/>
      <c r="I115" s="524"/>
    </row>
    <row r="116" spans="1:9">
      <c r="A116" s="518"/>
      <c r="B116" s="518"/>
      <c r="D116" s="1293"/>
      <c r="E116" s="1293"/>
      <c r="F116" s="1293"/>
      <c r="I116" s="524"/>
    </row>
    <row r="117" spans="1:9">
      <c r="A117" s="518"/>
      <c r="B117" s="518"/>
      <c r="D117" s="1293"/>
      <c r="E117" s="1293"/>
      <c r="F117" s="1293"/>
      <c r="I117" s="524"/>
    </row>
    <row r="118" spans="1:9">
      <c r="A118" s="518"/>
      <c r="B118" s="518"/>
      <c r="D118" s="558"/>
      <c r="E118" s="558"/>
      <c r="F118" s="558"/>
      <c r="I118" s="524"/>
    </row>
    <row r="119" spans="1:9" ht="14.25" customHeight="1">
      <c r="A119" s="518"/>
      <c r="B119" s="519" t="s">
        <v>2740</v>
      </c>
      <c r="D119" s="1304" t="s">
        <v>1172</v>
      </c>
      <c r="E119" s="1304"/>
      <c r="F119" s="1304"/>
      <c r="I119" s="524"/>
    </row>
    <row r="120" spans="1:9">
      <c r="A120" s="518"/>
      <c r="B120" s="518"/>
      <c r="D120" s="1304"/>
      <c r="E120" s="1304"/>
      <c r="F120" s="1304"/>
      <c r="I120" s="524"/>
    </row>
    <row r="121" spans="1:9">
      <c r="A121" s="518"/>
      <c r="B121" s="518"/>
      <c r="D121" s="1304"/>
      <c r="E121" s="1304"/>
      <c r="F121" s="1304"/>
      <c r="I121" s="524"/>
    </row>
    <row r="122" spans="1:9">
      <c r="A122" s="518"/>
      <c r="B122" s="518"/>
      <c r="D122" s="1304"/>
      <c r="E122" s="1304"/>
      <c r="F122" s="1304"/>
      <c r="I122" s="524"/>
    </row>
    <row r="123" spans="1:9">
      <c r="A123" s="518"/>
      <c r="B123" s="518"/>
      <c r="D123" s="1304"/>
      <c r="E123" s="1304"/>
      <c r="F123" s="1304"/>
      <c r="I123" s="524"/>
    </row>
    <row r="124" spans="1:9">
      <c r="A124" s="518"/>
      <c r="B124" s="518"/>
      <c r="D124" s="1304"/>
      <c r="E124" s="1304"/>
      <c r="F124" s="1304"/>
      <c r="I124" s="524"/>
    </row>
    <row r="125" spans="1:9">
      <c r="A125" s="518"/>
      <c r="B125" s="518"/>
      <c r="D125" s="1304"/>
      <c r="E125" s="1304"/>
      <c r="F125" s="1304"/>
      <c r="I125" s="524"/>
    </row>
    <row r="126" spans="1:9">
      <c r="A126" s="518"/>
      <c r="B126" s="518"/>
      <c r="D126" s="1304"/>
      <c r="E126" s="1304"/>
      <c r="F126" s="1304"/>
      <c r="I126" s="524"/>
    </row>
    <row r="127" spans="1:9">
      <c r="C127" s="433"/>
      <c r="D127" s="559"/>
      <c r="E127" s="559"/>
      <c r="F127" s="559"/>
      <c r="I127" s="524"/>
    </row>
    <row r="128" spans="1:9">
      <c r="A128" s="518"/>
      <c r="B128" s="519" t="s">
        <v>2739</v>
      </c>
      <c r="C128" s="433"/>
      <c r="D128" s="1304" t="s">
        <v>2364</v>
      </c>
      <c r="E128" s="1304"/>
      <c r="F128" s="1304"/>
      <c r="I128" s="524" t="s">
        <v>2083</v>
      </c>
    </row>
    <row r="129" spans="1:9">
      <c r="A129" s="518"/>
      <c r="B129" s="518"/>
      <c r="C129" s="433"/>
      <c r="D129" s="1304"/>
      <c r="E129" s="1304"/>
      <c r="F129" s="1304"/>
      <c r="I129" s="524"/>
    </row>
    <row r="130" spans="1:9">
      <c r="I130" s="524"/>
    </row>
    <row r="131" spans="1:9">
      <c r="A131" s="518"/>
      <c r="B131" s="519" t="s">
        <v>2739</v>
      </c>
      <c r="D131" s="1293" t="s">
        <v>1175</v>
      </c>
      <c r="E131" s="1293"/>
      <c r="F131" s="1293"/>
      <c r="I131" s="524" t="s">
        <v>2083</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c r="A137" s="518"/>
      <c r="B137" s="519" t="s">
        <v>2739</v>
      </c>
      <c r="D137" s="1293" t="s">
        <v>1176</v>
      </c>
      <c r="E137" s="1293"/>
      <c r="F137" s="1293"/>
      <c r="I137" s="524" t="s">
        <v>2084</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2740</v>
      </c>
      <c r="D151" s="1293" t="s">
        <v>1284</v>
      </c>
      <c r="E151" s="1293"/>
      <c r="F151" s="1293"/>
      <c r="I151" s="524" t="s">
        <v>2085</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2388</v>
      </c>
      <c r="E169" s="1338"/>
      <c r="F169" s="1338"/>
      <c r="G169" s="541"/>
      <c r="I169" s="524"/>
    </row>
    <row r="170" spans="1:9" ht="13.75" customHeight="1">
      <c r="D170" s="1279"/>
      <c r="E170" s="1279"/>
      <c r="F170" s="1279"/>
      <c r="G170" s="1279"/>
      <c r="I170" s="524"/>
    </row>
    <row r="171" spans="1:9" ht="14.5" customHeight="1">
      <c r="A171" s="523"/>
      <c r="B171" s="519" t="s">
        <v>2740</v>
      </c>
      <c r="C171" s="510"/>
      <c r="D171" s="1275" t="s">
        <v>2576</v>
      </c>
      <c r="E171" s="1275"/>
      <c r="F171" s="1275"/>
      <c r="G171" s="510"/>
      <c r="I171" s="524" t="s">
        <v>2080</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2740</v>
      </c>
      <c r="C177" s="510"/>
      <c r="D177" s="1275" t="s">
        <v>1178</v>
      </c>
      <c r="E177" s="1275"/>
      <c r="F177" s="1275"/>
      <c r="G177" s="510"/>
      <c r="I177" s="524" t="s">
        <v>2086</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2739</v>
      </c>
      <c r="D182" s="1280" t="s">
        <v>2365</v>
      </c>
      <c r="E182" s="1280"/>
      <c r="F182" s="1280"/>
      <c r="I182" s="524" t="s">
        <v>2087</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2366</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2066</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5" customHeight="1">
      <c r="A193" s="435"/>
      <c r="B193" s="435"/>
      <c r="D193" s="1295" t="s">
        <v>1936</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2740</v>
      </c>
      <c r="D197" s="1277" t="s">
        <v>1937</v>
      </c>
      <c r="E197" s="1277"/>
      <c r="F197" s="1277"/>
      <c r="I197" s="524" t="s">
        <v>2136</v>
      </c>
    </row>
    <row r="198" spans="1:9">
      <c r="A198" s="435"/>
      <c r="B198" s="435"/>
      <c r="D198" s="1309" t="s">
        <v>2202</v>
      </c>
      <c r="E198" s="1309"/>
      <c r="F198" s="1309"/>
      <c r="I198" s="524"/>
    </row>
    <row r="199" spans="1:9">
      <c r="A199" s="435"/>
      <c r="B199" s="435"/>
      <c r="D199" s="96" t="s">
        <v>1938</v>
      </c>
      <c r="E199" s="1341" t="s">
        <v>2225</v>
      </c>
      <c r="F199" s="1341"/>
      <c r="I199" s="524"/>
    </row>
    <row r="200" spans="1:9">
      <c r="A200" s="435"/>
      <c r="B200" s="435"/>
      <c r="D200" s="3"/>
      <c r="E200" s="3"/>
      <c r="F200" s="3"/>
      <c r="I200" s="524"/>
    </row>
    <row r="201" spans="1:9">
      <c r="A201" s="435"/>
      <c r="B201" s="519" t="s">
        <v>2740</v>
      </c>
      <c r="D201" s="1309" t="s">
        <v>1939</v>
      </c>
      <c r="E201" s="1309"/>
      <c r="F201" s="1309"/>
      <c r="I201" s="524" t="s">
        <v>2137</v>
      </c>
    </row>
    <row r="202" spans="1:9">
      <c r="A202" s="435"/>
      <c r="B202" s="435"/>
      <c r="D202" s="1277" t="s">
        <v>2202</v>
      </c>
      <c r="E202" s="1277"/>
      <c r="F202" s="1277"/>
      <c r="I202" s="524"/>
    </row>
    <row r="203" spans="1:9">
      <c r="A203" s="435"/>
      <c r="B203" s="435"/>
      <c r="D203" s="57" t="s">
        <v>1940</v>
      </c>
      <c r="E203" s="1341" t="s">
        <v>2226</v>
      </c>
      <c r="F203" s="1341"/>
      <c r="I203" s="524"/>
    </row>
    <row r="204" spans="1:9">
      <c r="A204" s="435"/>
      <c r="B204" s="435"/>
      <c r="D204" s="3"/>
      <c r="E204" s="3"/>
      <c r="F204" s="3"/>
      <c r="I204" s="524"/>
    </row>
    <row r="205" spans="1:9">
      <c r="A205" s="435"/>
      <c r="B205" s="519" t="s">
        <v>2740</v>
      </c>
      <c r="D205" s="1309" t="s">
        <v>1941</v>
      </c>
      <c r="E205" s="1309"/>
      <c r="F205" s="1309"/>
      <c r="I205" s="524" t="s">
        <v>2138</v>
      </c>
    </row>
    <row r="206" spans="1:9">
      <c r="A206" s="435"/>
      <c r="B206" s="435"/>
      <c r="D206" s="1277" t="s">
        <v>2202</v>
      </c>
      <c r="E206" s="1277"/>
      <c r="F206" s="1277"/>
      <c r="I206" s="524"/>
    </row>
    <row r="207" spans="1:9">
      <c r="A207" s="435"/>
      <c r="B207" s="435"/>
      <c r="D207" s="57" t="s">
        <v>1938</v>
      </c>
      <c r="E207" s="1341" t="s">
        <v>2227</v>
      </c>
      <c r="F207" s="1341"/>
      <c r="I207" s="524"/>
    </row>
    <row r="208" spans="1:9">
      <c r="A208" s="435"/>
      <c r="B208" s="435"/>
      <c r="D208" s="423"/>
      <c r="E208" s="423"/>
      <c r="F208" s="423"/>
      <c r="I208" s="524"/>
    </row>
    <row r="209" spans="1:9" ht="14.25" customHeight="1">
      <c r="A209" s="518"/>
      <c r="B209" s="519" t="s">
        <v>2740</v>
      </c>
      <c r="D209" s="417" t="s">
        <v>2195</v>
      </c>
      <c r="E209" s="416"/>
      <c r="F209" s="416"/>
      <c r="I209" s="524" t="s">
        <v>2139</v>
      </c>
    </row>
    <row r="210" spans="1:9">
      <c r="A210" s="518"/>
      <c r="B210" s="518"/>
      <c r="D210" s="1277" t="s">
        <v>2202</v>
      </c>
      <c r="E210" s="1277"/>
      <c r="F210" s="1277"/>
      <c r="I210" s="524"/>
    </row>
    <row r="211" spans="1:9">
      <c r="D211" s="416"/>
      <c r="E211" s="1341" t="s">
        <v>2228</v>
      </c>
      <c r="F211" s="1341"/>
      <c r="I211" s="524"/>
    </row>
    <row r="212" spans="1:9">
      <c r="D212" s="481"/>
      <c r="I212" s="524"/>
    </row>
    <row r="213" spans="1:9">
      <c r="B213" s="519" t="s">
        <v>2740</v>
      </c>
      <c r="D213" s="1309" t="s">
        <v>1942</v>
      </c>
      <c r="E213" s="1309"/>
      <c r="F213" s="1309"/>
      <c r="I213" s="524" t="s">
        <v>2140</v>
      </c>
    </row>
    <row r="214" spans="1:9">
      <c r="D214" s="1277" t="s">
        <v>2202</v>
      </c>
      <c r="E214" s="1277"/>
      <c r="F214" s="1277"/>
      <c r="I214" s="524"/>
    </row>
    <row r="215" spans="1:9">
      <c r="D215" s="57" t="s">
        <v>1938</v>
      </c>
      <c r="E215" s="1341" t="s">
        <v>2229</v>
      </c>
      <c r="F215" s="1341"/>
      <c r="I215" s="524"/>
    </row>
    <row r="216" spans="1:9">
      <c r="D216" s="485"/>
      <c r="E216" s="485"/>
      <c r="F216" s="485"/>
      <c r="I216" s="524"/>
    </row>
    <row r="217" spans="1:9">
      <c r="A217" s="518"/>
      <c r="B217" s="519" t="s">
        <v>2740</v>
      </c>
      <c r="D217" s="1293" t="s">
        <v>1323</v>
      </c>
      <c r="E217" s="1293"/>
      <c r="F217" s="1293"/>
      <c r="I217" s="524"/>
    </row>
    <row r="218" spans="1:9" ht="14.5" customHeight="1">
      <c r="A218" s="518"/>
      <c r="B218" s="433"/>
      <c r="D218" s="1293"/>
      <c r="E218" s="1293"/>
      <c r="F218" s="1293"/>
      <c r="I218" s="524"/>
    </row>
    <row r="219" spans="1:9">
      <c r="A219" s="518"/>
      <c r="D219" s="1293"/>
      <c r="E219" s="1293"/>
      <c r="F219" s="1293"/>
      <c r="I219" s="524"/>
    </row>
    <row r="220" spans="1:9">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5" customHeight="1">
      <c r="A227" s="524"/>
      <c r="C227" s="524"/>
      <c r="D227" s="1292" t="s">
        <v>555</v>
      </c>
      <c r="E227" s="1292"/>
      <c r="F227" s="1292"/>
      <c r="I227" s="524" t="s">
        <v>2088</v>
      </c>
    </row>
    <row r="228" spans="1:9">
      <c r="A228" s="518"/>
      <c r="B228" s="519" t="s">
        <v>2739</v>
      </c>
      <c r="D228" s="1293" t="s">
        <v>1943</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c r="A231" s="518"/>
      <c r="B231" s="518"/>
      <c r="D231" s="1293"/>
      <c r="E231" s="1293"/>
      <c r="F231" s="1293"/>
      <c r="I231" s="524"/>
    </row>
    <row r="232" spans="1:9">
      <c r="A232" s="518"/>
      <c r="B232" s="518"/>
      <c r="D232" s="479"/>
      <c r="E232" s="479"/>
      <c r="F232" s="479"/>
      <c r="I232" s="524"/>
    </row>
    <row r="233" spans="1:9">
      <c r="A233" s="518"/>
      <c r="B233" s="519" t="s">
        <v>2739</v>
      </c>
      <c r="D233" s="1293" t="s">
        <v>1944</v>
      </c>
      <c r="E233" s="1293"/>
      <c r="F233" s="1293"/>
      <c r="I233" s="524" t="s">
        <v>2089</v>
      </c>
    </row>
    <row r="234" spans="1:9">
      <c r="A234" s="518"/>
      <c r="B234" s="518"/>
      <c r="D234" s="1293"/>
      <c r="E234" s="1293"/>
      <c r="F234" s="1293"/>
      <c r="I234" s="524"/>
    </row>
    <row r="235" spans="1:9">
      <c r="A235" s="518"/>
      <c r="B235" s="518"/>
      <c r="D235" s="1293"/>
      <c r="E235" s="1293"/>
      <c r="F235" s="1293"/>
      <c r="I235" s="524"/>
    </row>
    <row r="236" spans="1:9">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c r="A239" s="518"/>
      <c r="B239" s="518"/>
      <c r="D239" s="1293" t="s">
        <v>1200</v>
      </c>
      <c r="E239" s="1293"/>
      <c r="F239" s="1293"/>
      <c r="I239" s="524" t="s">
        <v>2088</v>
      </c>
    </row>
    <row r="240" spans="1:9">
      <c r="A240" s="518"/>
      <c r="B240" s="518"/>
      <c r="D240" s="1293"/>
      <c r="E240" s="1293"/>
      <c r="F240" s="1293"/>
      <c r="I240" s="524"/>
    </row>
    <row r="241" spans="1:9">
      <c r="A241" s="518"/>
      <c r="B241" s="518"/>
      <c r="D241" s="1293"/>
      <c r="E241" s="1293"/>
      <c r="F241" s="1293"/>
      <c r="I241" s="524"/>
    </row>
    <row r="242" spans="1:9">
      <c r="A242" s="518"/>
      <c r="B242" s="518"/>
      <c r="D242" s="1293"/>
      <c r="E242" s="1293"/>
      <c r="F242" s="1293"/>
      <c r="I242" s="524"/>
    </row>
    <row r="243" spans="1:9">
      <c r="A243" s="518"/>
      <c r="B243" s="518"/>
      <c r="D243" s="1293"/>
      <c r="E243" s="1293"/>
      <c r="F243" s="1293"/>
      <c r="I243" s="524"/>
    </row>
    <row r="244" spans="1:9">
      <c r="A244" s="518"/>
      <c r="B244" s="518"/>
      <c r="D244" s="480"/>
      <c r="E244" s="480"/>
      <c r="F244" s="480"/>
      <c r="I244" s="524"/>
    </row>
    <row r="245" spans="1:9">
      <c r="A245" s="518"/>
      <c r="B245" s="519" t="s">
        <v>2740</v>
      </c>
      <c r="D245" s="1293" t="s">
        <v>2367</v>
      </c>
      <c r="E245" s="1293"/>
      <c r="F245" s="1293"/>
      <c r="I245" s="524" t="s">
        <v>2127</v>
      </c>
    </row>
    <row r="246" spans="1:9">
      <c r="A246" s="518"/>
      <c r="B246" s="518"/>
      <c r="D246" s="1293"/>
      <c r="E246" s="1293"/>
      <c r="F246" s="1293"/>
      <c r="I246" s="524"/>
    </row>
    <row r="247" spans="1:9">
      <c r="A247" s="518"/>
      <c r="B247" s="518"/>
      <c r="D247" s="1293"/>
      <c r="E247" s="1293"/>
      <c r="F247" s="1293"/>
      <c r="I247" s="524"/>
    </row>
    <row r="248" spans="1:9">
      <c r="A248" s="518"/>
      <c r="B248" s="518"/>
      <c r="E248" s="1071" t="s">
        <v>2196</v>
      </c>
      <c r="I248" s="524"/>
    </row>
    <row r="249" spans="1:9">
      <c r="A249" s="518"/>
      <c r="B249" s="518"/>
      <c r="D249" s="480"/>
      <c r="E249" s="480"/>
      <c r="F249" s="480"/>
      <c r="I249" s="524"/>
    </row>
    <row r="250" spans="1:9" ht="14.5" customHeight="1">
      <c r="A250" s="518"/>
      <c r="B250" s="519" t="s">
        <v>2740</v>
      </c>
      <c r="D250" s="1293" t="s">
        <v>2368</v>
      </c>
      <c r="E250" s="1293"/>
      <c r="F250" s="1293"/>
      <c r="I250" s="524" t="s">
        <v>2145</v>
      </c>
    </row>
    <row r="251" spans="1:9">
      <c r="A251" s="518"/>
      <c r="B251" s="518"/>
      <c r="D251" s="1293"/>
      <c r="E251" s="1293"/>
      <c r="F251" s="1293"/>
      <c r="I251" s="524"/>
    </row>
    <row r="252" spans="1:9">
      <c r="A252" s="518"/>
      <c r="B252" s="518"/>
      <c r="D252" s="1293"/>
      <c r="E252" s="1293"/>
      <c r="F252" s="1293"/>
      <c r="I252" s="524"/>
    </row>
    <row r="253" spans="1:9">
      <c r="A253" s="518"/>
      <c r="B253" s="518"/>
      <c r="D253" s="1293"/>
      <c r="E253" s="1293"/>
      <c r="F253" s="1293"/>
      <c r="I253" s="524"/>
    </row>
    <row r="254" spans="1:9">
      <c r="A254" s="518"/>
      <c r="B254" s="518"/>
      <c r="D254" s="1293"/>
      <c r="E254" s="1293"/>
      <c r="F254" s="1293"/>
      <c r="I254" s="524"/>
    </row>
    <row r="255" spans="1:9">
      <c r="A255" s="518"/>
      <c r="B255" s="518"/>
      <c r="D255" s="479"/>
      <c r="E255" s="479"/>
      <c r="F255" s="479"/>
      <c r="I255" s="524"/>
    </row>
    <row r="256" spans="1:9">
      <c r="A256" s="518"/>
      <c r="B256" s="519" t="s">
        <v>2739</v>
      </c>
      <c r="D256" s="423" t="s">
        <v>2369</v>
      </c>
      <c r="E256" s="479"/>
      <c r="F256" s="479"/>
      <c r="I256" s="524" t="s">
        <v>2126</v>
      </c>
    </row>
    <row r="257" spans="1:9">
      <c r="A257" s="518"/>
      <c r="B257" s="518"/>
      <c r="E257" s="1071" t="s">
        <v>2197</v>
      </c>
      <c r="I257" s="524"/>
    </row>
    <row r="258" spans="1:9">
      <c r="D258" s="480"/>
      <c r="E258" s="480"/>
      <c r="F258" s="480"/>
      <c r="I258" s="524"/>
    </row>
    <row r="259" spans="1:9">
      <c r="A259" s="518"/>
      <c r="B259" s="519" t="s">
        <v>2739</v>
      </c>
      <c r="D259" s="1293" t="s">
        <v>1202</v>
      </c>
      <c r="E259" s="1293"/>
      <c r="F259" s="1293"/>
      <c r="I259" s="524"/>
    </row>
    <row r="260" spans="1:9">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2128</v>
      </c>
    </row>
    <row r="267" spans="1:9" ht="14.5" customHeight="1">
      <c r="A267" s="518"/>
      <c r="B267" s="519" t="s">
        <v>2739</v>
      </c>
      <c r="D267" s="1293" t="s">
        <v>1303</v>
      </c>
      <c r="E267" s="1293"/>
      <c r="F267" s="1293"/>
      <c r="I267" s="524"/>
    </row>
    <row r="268" spans="1:9">
      <c r="D268" s="1293"/>
      <c r="E268" s="1293"/>
      <c r="F268" s="1293"/>
      <c r="I268" s="524"/>
    </row>
    <row r="269" spans="1:9">
      <c r="E269" s="1071" t="s">
        <v>2198</v>
      </c>
      <c r="I269" s="524"/>
    </row>
    <row r="270" spans="1:9">
      <c r="D270" s="480"/>
      <c r="E270" s="480"/>
      <c r="F270" s="480"/>
      <c r="I270" s="524"/>
    </row>
    <row r="271" spans="1:9" ht="14.5" customHeight="1">
      <c r="A271" s="518"/>
      <c r="B271" s="519" t="s">
        <v>2740</v>
      </c>
      <c r="D271" s="1293" t="s">
        <v>2370</v>
      </c>
      <c r="E271" s="1293"/>
      <c r="F271" s="1293"/>
      <c r="I271" s="524" t="s">
        <v>2146</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c r="A278" s="518"/>
      <c r="B278" s="519" t="s">
        <v>2740</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c r="A290" s="518"/>
      <c r="B290" s="519" t="s">
        <v>2740</v>
      </c>
      <c r="D290" s="1293" t="s">
        <v>1212</v>
      </c>
      <c r="E290" s="1293"/>
      <c r="F290" s="1293"/>
      <c r="I290" s="524" t="s">
        <v>2090</v>
      </c>
    </row>
    <row r="291" spans="1:9">
      <c r="A291" s="518"/>
      <c r="B291" s="518"/>
      <c r="D291" s="1293"/>
      <c r="E291" s="1293"/>
      <c r="F291" s="1293"/>
      <c r="I291" s="524"/>
    </row>
    <row r="292" spans="1:9">
      <c r="D292" s="480"/>
      <c r="E292" s="480"/>
      <c r="F292" s="480"/>
      <c r="I292" s="524"/>
    </row>
    <row r="293" spans="1:9">
      <c r="A293" s="518"/>
      <c r="B293" s="519" t="s">
        <v>2740</v>
      </c>
      <c r="D293" s="1293" t="s">
        <v>1213</v>
      </c>
      <c r="E293" s="1293"/>
      <c r="F293" s="1293"/>
      <c r="I293" s="524" t="s">
        <v>2090</v>
      </c>
    </row>
    <row r="294" spans="1:9">
      <c r="A294" s="518"/>
      <c r="B294" s="518"/>
      <c r="D294" s="1293"/>
      <c r="E294" s="1293"/>
      <c r="F294" s="1293"/>
      <c r="I294" s="524"/>
    </row>
    <row r="295" spans="1:9">
      <c r="A295" s="518"/>
      <c r="B295" s="518"/>
      <c r="D295" s="1293"/>
      <c r="E295" s="1293"/>
      <c r="F295" s="1293"/>
      <c r="I295" s="524"/>
    </row>
    <row r="296" spans="1:9">
      <c r="D296" s="480"/>
      <c r="E296" s="480"/>
      <c r="F296" s="480"/>
      <c r="I296" s="524"/>
    </row>
    <row r="297" spans="1:9">
      <c r="A297" s="518"/>
      <c r="B297" s="519" t="s">
        <v>2740</v>
      </c>
      <c r="D297" s="1293" t="s">
        <v>1214</v>
      </c>
      <c r="E297" s="1293"/>
      <c r="F297" s="1293"/>
      <c r="I297" s="524" t="s">
        <v>2090</v>
      </c>
    </row>
    <row r="298" spans="1:9">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2740</v>
      </c>
      <c r="D305" s="1294" t="s">
        <v>1216</v>
      </c>
      <c r="E305" s="1294"/>
      <c r="F305" s="1294"/>
      <c r="I305" s="524" t="s">
        <v>2091</v>
      </c>
    </row>
    <row r="306" spans="1:9">
      <c r="A306" s="518"/>
      <c r="B306" s="518"/>
      <c r="D306" s="528"/>
      <c r="E306" s="529"/>
      <c r="F306" s="529"/>
      <c r="I306" s="524"/>
    </row>
    <row r="307" spans="1:9" ht="13.75" customHeight="1">
      <c r="B307" s="519" t="s">
        <v>2740</v>
      </c>
      <c r="D307" s="1347" t="s">
        <v>1326</v>
      </c>
      <c r="E307" s="1347"/>
      <c r="F307" s="1347"/>
      <c r="I307" s="524" t="s">
        <v>2091</v>
      </c>
    </row>
    <row r="308" spans="1:9">
      <c r="A308" s="518"/>
      <c r="B308" s="518"/>
      <c r="D308" s="1347"/>
      <c r="E308" s="1347"/>
      <c r="F308" s="1347"/>
      <c r="I308" s="524"/>
    </row>
    <row r="309" spans="1:9">
      <c r="A309" s="518"/>
      <c r="B309" s="518"/>
      <c r="D309" s="1347"/>
      <c r="E309" s="1347"/>
      <c r="F309" s="1347"/>
      <c r="I309" s="524"/>
    </row>
    <row r="310" spans="1:9">
      <c r="A310" s="518"/>
      <c r="B310" s="518"/>
      <c r="D310" s="1347"/>
      <c r="E310" s="1347"/>
      <c r="F310" s="1347"/>
      <c r="I310" s="524"/>
    </row>
    <row r="311" spans="1:9">
      <c r="A311" s="518"/>
      <c r="B311" s="518"/>
      <c r="D311" s="1347"/>
      <c r="E311" s="1347"/>
      <c r="F311" s="1347"/>
      <c r="I311" s="524"/>
    </row>
    <row r="312" spans="1:9">
      <c r="A312" s="518"/>
      <c r="B312" s="518"/>
      <c r="D312" s="528"/>
      <c r="E312" s="529"/>
      <c r="F312" s="529"/>
      <c r="I312" s="524"/>
    </row>
    <row r="313" spans="1:9" ht="13.75" customHeight="1">
      <c r="B313" s="519" t="s">
        <v>2740</v>
      </c>
      <c r="D313" s="1347" t="s">
        <v>1218</v>
      </c>
      <c r="E313" s="1347"/>
      <c r="F313" s="1347"/>
      <c r="I313" s="524" t="s">
        <v>2091</v>
      </c>
    </row>
    <row r="314" spans="1:9">
      <c r="D314" s="1347"/>
      <c r="E314" s="1347"/>
      <c r="F314" s="1347"/>
      <c r="I314" s="524"/>
    </row>
    <row r="315" spans="1:9">
      <c r="A315" s="518"/>
      <c r="B315" s="518"/>
      <c r="D315" s="528"/>
      <c r="E315" s="529"/>
      <c r="F315" s="529"/>
      <c r="I315" s="524"/>
    </row>
    <row r="316" spans="1:9">
      <c r="B316" s="519" t="s">
        <v>2740</v>
      </c>
      <c r="D316" s="1294" t="s">
        <v>1219</v>
      </c>
      <c r="E316" s="1294"/>
      <c r="F316" s="1294"/>
      <c r="I316" s="524" t="s">
        <v>2077</v>
      </c>
    </row>
    <row r="317" spans="1:9">
      <c r="E317" s="480"/>
      <c r="F317" s="480"/>
      <c r="I317" s="524"/>
    </row>
    <row r="318" spans="1:9">
      <c r="A318" s="518"/>
      <c r="B318" s="519" t="s">
        <v>2740</v>
      </c>
      <c r="D318" s="1293" t="s">
        <v>2389</v>
      </c>
      <c r="E318" s="1293"/>
      <c r="F318" s="1293"/>
      <c r="I318" s="524" t="s">
        <v>2092</v>
      </c>
    </row>
    <row r="319" spans="1:9">
      <c r="A319" s="518"/>
      <c r="B319" s="518"/>
      <c r="D319" s="1293"/>
      <c r="E319" s="1293"/>
      <c r="F319" s="1293"/>
      <c r="I319" s="524"/>
    </row>
    <row r="320" spans="1:9">
      <c r="A320" s="518"/>
      <c r="B320" s="518"/>
      <c r="D320" s="1293"/>
      <c r="E320" s="1293"/>
      <c r="F320" s="1293"/>
      <c r="I320" s="524"/>
    </row>
    <row r="321" spans="1:9">
      <c r="A321" s="518"/>
      <c r="B321" s="518"/>
      <c r="D321" s="1293"/>
      <c r="E321" s="1293"/>
      <c r="F321" s="1293"/>
      <c r="I321" s="524"/>
    </row>
    <row r="322" spans="1:9">
      <c r="A322" s="518"/>
      <c r="B322" s="518"/>
      <c r="D322" s="1293"/>
      <c r="E322" s="1293"/>
      <c r="F322" s="1293"/>
      <c r="I322" s="524"/>
    </row>
    <row r="323" spans="1:9">
      <c r="A323" s="518"/>
      <c r="B323" s="518"/>
      <c r="D323" s="1293"/>
      <c r="E323" s="1293"/>
      <c r="F323" s="1293"/>
      <c r="I323" s="524"/>
    </row>
    <row r="324" spans="1:9">
      <c r="A324" s="518"/>
      <c r="B324" s="518"/>
      <c r="D324" s="1293"/>
      <c r="E324" s="1293"/>
      <c r="F324" s="1293"/>
      <c r="I324" s="524"/>
    </row>
    <row r="325" spans="1:9">
      <c r="A325" s="518"/>
      <c r="B325" s="518"/>
      <c r="D325" s="1293"/>
      <c r="E325" s="1293"/>
      <c r="F325" s="1293"/>
      <c r="I325" s="524"/>
    </row>
    <row r="326" spans="1:9">
      <c r="A326" s="518"/>
      <c r="B326" s="518"/>
      <c r="D326" s="1293"/>
      <c r="E326" s="1293"/>
      <c r="F326" s="1293"/>
      <c r="I326" s="524"/>
    </row>
    <row r="327" spans="1:9">
      <c r="A327" s="518"/>
      <c r="B327" s="518"/>
      <c r="D327" s="1293"/>
      <c r="E327" s="1293"/>
      <c r="F327" s="1293"/>
      <c r="I327" s="524"/>
    </row>
    <row r="328" spans="1:9">
      <c r="A328" s="518"/>
      <c r="B328" s="518"/>
      <c r="D328" s="1293"/>
      <c r="E328" s="1293"/>
      <c r="F328" s="1293"/>
      <c r="I328" s="524"/>
    </row>
    <row r="329" spans="1:9">
      <c r="A329" s="518"/>
      <c r="B329" s="518"/>
      <c r="D329" s="1293"/>
      <c r="E329" s="1293"/>
      <c r="F329" s="1293"/>
      <c r="I329" s="524"/>
    </row>
    <row r="330" spans="1:9">
      <c r="A330" s="518"/>
      <c r="B330" s="518"/>
      <c r="D330" s="1293"/>
      <c r="E330" s="1293"/>
      <c r="F330" s="1293"/>
      <c r="I330" s="524"/>
    </row>
    <row r="331" spans="1:9">
      <c r="A331" s="518"/>
      <c r="B331" s="518"/>
      <c r="D331" s="1293"/>
      <c r="E331" s="1293"/>
      <c r="F331" s="1293"/>
      <c r="I331" s="524"/>
    </row>
    <row r="332" spans="1:9">
      <c r="A332" s="518"/>
      <c r="B332" s="518"/>
      <c r="D332" s="1293"/>
      <c r="E332" s="1293"/>
      <c r="F332" s="1293"/>
      <c r="I332" s="524"/>
    </row>
    <row r="333" spans="1:9">
      <c r="D333" s="480"/>
      <c r="E333" s="480"/>
      <c r="F333" s="480"/>
      <c r="I333" s="524"/>
    </row>
    <row r="334" spans="1:9">
      <c r="A334" s="518"/>
      <c r="B334" s="519" t="s">
        <v>2740</v>
      </c>
      <c r="D334" s="1293" t="s">
        <v>1221</v>
      </c>
      <c r="E334" s="1293"/>
      <c r="F334" s="1293"/>
      <c r="I334" s="524" t="s">
        <v>2092</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2740</v>
      </c>
      <c r="D344" s="1293" t="s">
        <v>2203</v>
      </c>
      <c r="E344" s="1293"/>
      <c r="F344" s="1293"/>
      <c r="I344" s="524" t="s">
        <v>2129</v>
      </c>
    </row>
    <row r="345" spans="1:9">
      <c r="D345" s="1293"/>
      <c r="E345" s="1293"/>
      <c r="F345" s="1293"/>
      <c r="I345" s="524"/>
    </row>
    <row r="346" spans="1:9">
      <c r="D346" s="1293"/>
      <c r="E346" s="1293"/>
      <c r="F346" s="1293"/>
      <c r="I346" s="524"/>
    </row>
    <row r="347" spans="1:9">
      <c r="D347" s="1293"/>
      <c r="E347" s="1293"/>
      <c r="F347" s="1293"/>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2093</v>
      </c>
    </row>
    <row r="355" spans="1:9">
      <c r="A355" s="518"/>
      <c r="B355" s="519" t="s">
        <v>2740</v>
      </c>
      <c r="C355" s="521"/>
      <c r="D355" s="1294" t="s">
        <v>2201</v>
      </c>
      <c r="E355" s="1294"/>
      <c r="F355" s="1294"/>
      <c r="I355" s="1350" t="s">
        <v>2143</v>
      </c>
    </row>
    <row r="356" spans="1:9" ht="12.75" customHeight="1">
      <c r="D356" s="1072"/>
      <c r="E356" s="96" t="s">
        <v>2200</v>
      </c>
      <c r="F356" s="1072"/>
      <c r="I356" s="1351"/>
    </row>
    <row r="357" spans="1:9" ht="12.5">
      <c r="D357" s="1293" t="s">
        <v>1347</v>
      </c>
      <c r="E357" s="1293"/>
      <c r="F357" s="1293"/>
      <c r="I357" s="1351"/>
    </row>
    <row r="358" spans="1:9" ht="12.5">
      <c r="D358" s="1293"/>
      <c r="E358" s="1293"/>
      <c r="F358" s="1293"/>
      <c r="I358" s="1351"/>
    </row>
    <row r="359" spans="1:9" ht="12.5">
      <c r="D359" s="1293"/>
      <c r="E359" s="1293"/>
      <c r="F359" s="1293"/>
      <c r="I359" s="1352"/>
    </row>
    <row r="360" spans="1:9">
      <c r="A360" s="518"/>
      <c r="B360" s="519" t="s">
        <v>2740</v>
      </c>
      <c r="C360" s="510"/>
      <c r="D360" s="1279" t="s">
        <v>2371</v>
      </c>
      <c r="E360" s="1279"/>
      <c r="F360" s="1279"/>
      <c r="I360" s="514"/>
    </row>
    <row r="361" spans="1:9">
      <c r="A361" s="510"/>
      <c r="B361" s="510"/>
      <c r="C361" s="510"/>
      <c r="D361" s="481"/>
      <c r="E361" s="481"/>
      <c r="F361" s="480"/>
      <c r="I361" s="524"/>
    </row>
    <row r="362" spans="1:9">
      <c r="A362" s="510"/>
      <c r="B362" s="519" t="s">
        <v>2740</v>
      </c>
      <c r="C362" s="510"/>
      <c r="D362" s="1275" t="s">
        <v>2372</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2740</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2740</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c r="A387" s="518"/>
      <c r="B387" s="519" t="s">
        <v>2740</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5"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2740</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2740</v>
      </c>
      <c r="D423" s="1275" t="s">
        <v>2130</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2740</v>
      </c>
      <c r="C429" s="510"/>
      <c r="D429" s="1275" t="s">
        <v>1348</v>
      </c>
      <c r="E429" s="1275"/>
      <c r="F429" s="1275"/>
      <c r="I429" s="524"/>
    </row>
    <row r="430" spans="1:9">
      <c r="A430" s="531"/>
      <c r="B430" s="531"/>
      <c r="C430" s="510"/>
      <c r="D430" s="1275"/>
      <c r="E430" s="1275"/>
      <c r="F430" s="1275"/>
      <c r="I430" s="524"/>
    </row>
    <row r="431" spans="1:9">
      <c r="A431" s="531"/>
      <c r="B431" s="531"/>
      <c r="C431" s="510"/>
      <c r="D431" s="1275"/>
      <c r="E431" s="1275"/>
      <c r="F431" s="1275"/>
      <c r="I431" s="524"/>
    </row>
    <row r="432" spans="1:9">
      <c r="A432" s="531"/>
      <c r="B432" s="531"/>
      <c r="C432" s="510"/>
      <c r="D432" s="1275"/>
      <c r="E432" s="1275"/>
      <c r="F432" s="1275"/>
      <c r="I432" s="524"/>
    </row>
    <row r="433" spans="1:9" ht="15.75" customHeight="1">
      <c r="A433" s="531"/>
      <c r="B433" s="531"/>
      <c r="C433" s="510"/>
      <c r="D433" s="1346" t="s">
        <v>2390</v>
      </c>
      <c r="E433" s="1275"/>
      <c r="F433" s="1275"/>
      <c r="I433" s="524"/>
    </row>
    <row r="434" spans="1:9">
      <c r="D434" s="480"/>
      <c r="E434" s="480"/>
      <c r="F434" s="480"/>
      <c r="I434" s="524"/>
    </row>
    <row r="435" spans="1:9">
      <c r="A435" s="518"/>
      <c r="B435" s="519" t="s">
        <v>2740</v>
      </c>
      <c r="C435" s="521"/>
      <c r="D435" s="1293" t="s">
        <v>2373</v>
      </c>
      <c r="E435" s="1293"/>
      <c r="F435" s="1293"/>
      <c r="I435" s="524"/>
    </row>
    <row r="436" spans="1:9">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5" customHeight="1">
      <c r="D465" s="1293"/>
      <c r="E465" s="1293"/>
      <c r="F465" s="1293"/>
      <c r="I465" s="524"/>
    </row>
    <row r="466" spans="1:9">
      <c r="D466" s="480"/>
      <c r="E466" s="480"/>
      <c r="F466" s="480"/>
      <c r="I466" s="524"/>
    </row>
    <row r="467" spans="1:9">
      <c r="A467" s="518"/>
      <c r="B467" s="519" t="s">
        <v>2740</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c r="B471" s="519" t="s">
        <v>2740</v>
      </c>
      <c r="C471" s="518"/>
      <c r="D471" s="1293" t="s">
        <v>1304</v>
      </c>
      <c r="E471" s="1293"/>
      <c r="F471" s="1293"/>
      <c r="I471" s="524"/>
    </row>
    <row r="472" spans="1:9">
      <c r="D472" s="1293"/>
      <c r="E472" s="1293"/>
      <c r="F472" s="1293"/>
      <c r="I472" s="524"/>
    </row>
    <row r="473" spans="1:9">
      <c r="D473" s="480"/>
      <c r="E473" s="480"/>
      <c r="F473" s="480"/>
      <c r="I473" s="524"/>
    </row>
    <row r="474" spans="1:9">
      <c r="B474" s="519" t="s">
        <v>2740</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2740</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2740</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2740</v>
      </c>
      <c r="C486" s="433"/>
      <c r="D486" s="1293"/>
      <c r="E486" s="1293"/>
      <c r="F486" s="1293"/>
      <c r="I486" s="524"/>
    </row>
    <row r="487" spans="1:9">
      <c r="A487" s="433"/>
      <c r="C487" s="433"/>
      <c r="D487" s="1293"/>
      <c r="E487" s="1293"/>
      <c r="F487" s="1293"/>
      <c r="I487" s="524"/>
    </row>
    <row r="488" spans="1:9">
      <c r="A488" s="433"/>
      <c r="B488" s="519" t="s">
        <v>2740</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2740</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c r="A499" s="518"/>
      <c r="B499" s="518"/>
      <c r="D499" s="1279" t="s">
        <v>1239</v>
      </c>
      <c r="E499" s="1279"/>
      <c r="F499" s="1279"/>
      <c r="I499" s="524"/>
    </row>
    <row r="500" spans="1:9">
      <c r="A500" s="518"/>
      <c r="B500" s="518"/>
      <c r="D500" s="481"/>
      <c r="I500" s="524"/>
    </row>
    <row r="501" spans="1:9">
      <c r="A501" s="518"/>
      <c r="B501" s="519" t="s">
        <v>2740</v>
      </c>
      <c r="D501" s="1275" t="s">
        <v>1240</v>
      </c>
      <c r="E501" s="1275"/>
      <c r="F501" s="1275"/>
      <c r="I501" s="524" t="s">
        <v>2094</v>
      </c>
    </row>
    <row r="502" spans="1:9">
      <c r="A502" s="518"/>
      <c r="B502" s="518"/>
      <c r="D502" s="1275"/>
      <c r="E502" s="1275"/>
      <c r="F502" s="1275"/>
      <c r="I502" s="524"/>
    </row>
    <row r="503" spans="1:9">
      <c r="A503" s="518"/>
      <c r="B503" s="518"/>
      <c r="D503" s="480"/>
      <c r="I503" s="524"/>
    </row>
    <row r="504" spans="1:9" ht="12.75" customHeight="1">
      <c r="B504" s="519" t="s">
        <v>2740</v>
      </c>
      <c r="D504" s="1280" t="s">
        <v>1383</v>
      </c>
      <c r="E504" s="1280"/>
      <c r="F504" s="1280"/>
      <c r="I504" s="524" t="s">
        <v>2095</v>
      </c>
    </row>
    <row r="505" spans="1:9">
      <c r="A505" s="518"/>
      <c r="D505" s="1280"/>
      <c r="E505" s="1280"/>
      <c r="F505" s="1280"/>
      <c r="I505" s="524"/>
    </row>
    <row r="506" spans="1:9">
      <c r="A506" s="518"/>
      <c r="B506" s="518"/>
      <c r="D506" s="1280"/>
      <c r="E506" s="1280"/>
      <c r="F506" s="1280"/>
      <c r="I506" s="524"/>
    </row>
    <row r="507" spans="1:9">
      <c r="A507" s="518"/>
      <c r="B507" s="518"/>
      <c r="D507" s="1280"/>
      <c r="E507" s="1280"/>
      <c r="F507" s="1280"/>
      <c r="I507" s="524"/>
    </row>
    <row r="508" spans="1:9">
      <c r="A508" s="518"/>
      <c r="D508" s="554"/>
      <c r="E508" s="554"/>
      <c r="F508" s="554"/>
      <c r="I508" s="524"/>
    </row>
    <row r="509" spans="1:9">
      <c r="A509" s="518"/>
      <c r="B509" s="519" t="s">
        <v>2740</v>
      </c>
      <c r="D509" s="1294" t="s">
        <v>1243</v>
      </c>
      <c r="E509" s="1294"/>
      <c r="F509" s="1294"/>
      <c r="I509" s="524" t="s">
        <v>2096</v>
      </c>
    </row>
    <row r="510" spans="1:9">
      <c r="A510" s="518"/>
      <c r="B510" s="518"/>
      <c r="D510" s="480"/>
      <c r="I510" s="524"/>
    </row>
    <row r="511" spans="1:9">
      <c r="A511" s="518"/>
      <c r="B511" s="519" t="s">
        <v>2740</v>
      </c>
      <c r="D511" s="1293" t="s">
        <v>1244</v>
      </c>
      <c r="E511" s="1293"/>
      <c r="F511" s="1293"/>
      <c r="I511" s="524" t="s">
        <v>2096</v>
      </c>
    </row>
    <row r="512" spans="1:9">
      <c r="A512" s="518"/>
      <c r="D512" s="1293"/>
      <c r="E512" s="1293"/>
      <c r="F512" s="1293"/>
      <c r="I512" s="524"/>
    </row>
    <row r="513" spans="1:9">
      <c r="A513" s="524"/>
      <c r="B513" s="524"/>
      <c r="D513" s="481"/>
      <c r="I513" s="524"/>
    </row>
    <row r="514" spans="1:9">
      <c r="A514" s="524"/>
      <c r="B514" s="519" t="s">
        <v>2740</v>
      </c>
      <c r="D514" s="1294" t="s">
        <v>1245</v>
      </c>
      <c r="E514" s="1294"/>
      <c r="F514" s="1294"/>
      <c r="I514" s="524" t="s">
        <v>2149</v>
      </c>
    </row>
    <row r="515" spans="1:9">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2739</v>
      </c>
      <c r="C522" s="517"/>
      <c r="D522" s="1275" t="s">
        <v>2374</v>
      </c>
      <c r="E522" s="1275"/>
      <c r="F522" s="1275"/>
      <c r="I522" s="524" t="s">
        <v>2131</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2740</v>
      </c>
      <c r="D525" s="417" t="s">
        <v>2204</v>
      </c>
      <c r="E525" s="416"/>
      <c r="F525" s="416"/>
      <c r="I525" s="524" t="s">
        <v>2097</v>
      </c>
    </row>
    <row r="526" spans="1:9">
      <c r="A526" s="517"/>
      <c r="B526" s="517"/>
      <c r="C526" s="517"/>
      <c r="D526" s="416"/>
      <c r="E526" s="96" t="s">
        <v>2205</v>
      </c>
      <c r="I526" s="524"/>
    </row>
    <row r="527" spans="1:9">
      <c r="A527" s="517"/>
      <c r="B527" s="517"/>
      <c r="D527" s="1323" t="s">
        <v>2375</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2740</v>
      </c>
      <c r="C531" s="517"/>
      <c r="D531" s="1293" t="s">
        <v>2376</v>
      </c>
      <c r="E531" s="1293"/>
      <c r="F531" s="1293"/>
      <c r="I531" s="524" t="s">
        <v>2097</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5" customHeight="1">
      <c r="A543" s="518"/>
      <c r="B543" s="519" t="s">
        <v>2739</v>
      </c>
      <c r="C543" s="521"/>
      <c r="D543" s="1294" t="s">
        <v>897</v>
      </c>
      <c r="E543" s="1294"/>
      <c r="F543" s="1294"/>
      <c r="I543" s="524" t="s">
        <v>2147</v>
      </c>
    </row>
    <row r="544" spans="1:9" ht="13.75" customHeight="1">
      <c r="A544" s="521"/>
      <c r="B544" s="521"/>
      <c r="C544" s="521"/>
      <c r="D544" s="480"/>
      <c r="I544" s="524"/>
    </row>
    <row r="545" spans="1:9">
      <c r="A545" s="518"/>
      <c r="B545" s="519" t="s">
        <v>2739</v>
      </c>
      <c r="C545" s="521"/>
      <c r="D545" s="1293" t="s">
        <v>1140</v>
      </c>
      <c r="E545" s="1293"/>
      <c r="F545" s="1293"/>
      <c r="I545" s="524" t="s">
        <v>2147</v>
      </c>
    </row>
    <row r="546" spans="1:9">
      <c r="A546" s="521"/>
      <c r="B546" s="521"/>
      <c r="C546" s="521"/>
      <c r="D546" s="1293"/>
      <c r="E546" s="1293"/>
      <c r="F546" s="1293"/>
      <c r="I546" s="524"/>
    </row>
    <row r="547" spans="1:9">
      <c r="A547" s="521"/>
      <c r="B547" s="521"/>
      <c r="C547" s="521"/>
      <c r="D547" s="480"/>
      <c r="E547" s="480"/>
      <c r="F547" s="480"/>
      <c r="I547" s="524"/>
    </row>
    <row r="548" spans="1:9">
      <c r="A548" s="518"/>
      <c r="B548" s="519" t="s">
        <v>2739</v>
      </c>
      <c r="C548" s="521"/>
      <c r="D548" s="1293" t="s">
        <v>1141</v>
      </c>
      <c r="E548" s="1293"/>
      <c r="F548" s="1293"/>
      <c r="I548" s="524" t="s">
        <v>2098</v>
      </c>
    </row>
    <row r="549" spans="1:9">
      <c r="A549" s="521"/>
      <c r="B549" s="521"/>
      <c r="C549" s="521"/>
      <c r="D549" s="1293"/>
      <c r="E549" s="1293"/>
      <c r="F549" s="1293"/>
      <c r="I549" s="524"/>
    </row>
    <row r="550" spans="1:9">
      <c r="A550" s="521"/>
      <c r="B550" s="521"/>
      <c r="C550" s="521"/>
      <c r="D550" s="480"/>
      <c r="E550" s="480"/>
      <c r="F550" s="480"/>
      <c r="I550" s="524"/>
    </row>
    <row r="551" spans="1:9">
      <c r="A551" s="518"/>
      <c r="B551" s="519" t="s">
        <v>2739</v>
      </c>
      <c r="C551" s="521"/>
      <c r="D551" s="1293" t="s">
        <v>1142</v>
      </c>
      <c r="E551" s="1293"/>
      <c r="F551" s="1293"/>
      <c r="I551" s="524" t="s">
        <v>2099</v>
      </c>
    </row>
    <row r="552" spans="1:9">
      <c r="A552" s="521"/>
      <c r="B552" s="521"/>
      <c r="C552" s="521"/>
      <c r="D552" s="1293"/>
      <c r="E552" s="1293"/>
      <c r="F552" s="1293"/>
      <c r="I552" s="524"/>
    </row>
    <row r="553" spans="1:9">
      <c r="A553" s="521"/>
      <c r="B553" s="521"/>
      <c r="C553" s="521"/>
      <c r="D553" s="480"/>
      <c r="E553" s="480"/>
      <c r="F553" s="480"/>
      <c r="I553" s="524"/>
    </row>
    <row r="554" spans="1:9">
      <c r="A554" s="518"/>
      <c r="B554" s="519" t="s">
        <v>2739</v>
      </c>
      <c r="C554" s="521"/>
      <c r="D554" s="1293" t="s">
        <v>1143</v>
      </c>
      <c r="E554" s="1293"/>
      <c r="F554" s="1293"/>
      <c r="I554" s="524" t="s">
        <v>2148</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c r="A558" s="518"/>
      <c r="B558" s="519" t="s">
        <v>2740</v>
      </c>
      <c r="C558" s="521"/>
      <c r="D558" s="1293" t="s">
        <v>1261</v>
      </c>
      <c r="E558" s="1293"/>
      <c r="F558" s="1293"/>
      <c r="I558" s="524" t="s">
        <v>2147</v>
      </c>
    </row>
    <row r="559" spans="1:9">
      <c r="A559" s="521"/>
      <c r="B559" s="521"/>
      <c r="C559" s="521"/>
      <c r="D559" s="1293"/>
      <c r="E559" s="1293"/>
      <c r="F559" s="1293"/>
      <c r="I559" s="524"/>
    </row>
    <row r="560" spans="1:9">
      <c r="A560" s="521"/>
      <c r="B560" s="521"/>
      <c r="C560" s="521"/>
      <c r="D560" s="480"/>
      <c r="E560" s="480"/>
      <c r="F560" s="480"/>
      <c r="I560" s="524"/>
    </row>
    <row r="561" spans="1:9">
      <c r="A561" s="518"/>
      <c r="B561" s="519" t="s">
        <v>2740</v>
      </c>
      <c r="C561" s="521"/>
      <c r="D561" s="1293" t="s">
        <v>1145</v>
      </c>
      <c r="E561" s="1293"/>
      <c r="F561" s="1293"/>
      <c r="I561" s="524" t="s">
        <v>2147</v>
      </c>
    </row>
    <row r="562" spans="1:9">
      <c r="A562" s="521"/>
      <c r="B562" s="521"/>
      <c r="C562" s="521"/>
      <c r="D562" s="1293"/>
      <c r="E562" s="1293"/>
      <c r="F562" s="1293"/>
      <c r="I562" s="524"/>
    </row>
    <row r="563" spans="1:9">
      <c r="A563" s="521"/>
      <c r="B563" s="521"/>
      <c r="C563" s="521"/>
      <c r="D563" s="480"/>
      <c r="E563" s="480"/>
      <c r="F563" s="480"/>
      <c r="I563" s="524"/>
    </row>
    <row r="564" spans="1:9">
      <c r="A564" s="518"/>
      <c r="B564" s="519" t="s">
        <v>2739</v>
      </c>
      <c r="C564" s="521"/>
      <c r="D564" s="1294" t="s">
        <v>1146</v>
      </c>
      <c r="E564" s="1294"/>
      <c r="F564" s="1294"/>
      <c r="I564" s="524" t="s">
        <v>2150</v>
      </c>
    </row>
    <row r="565" spans="1:9">
      <c r="A565" s="524"/>
      <c r="B565" s="524"/>
      <c r="C565" s="521"/>
      <c r="D565" s="1294" t="s">
        <v>2207</v>
      </c>
      <c r="E565" s="1294"/>
      <c r="F565" s="1294"/>
      <c r="I565" s="524"/>
    </row>
    <row r="566" spans="1:9">
      <c r="A566" s="524"/>
      <c r="B566" s="524"/>
      <c r="C566" s="521"/>
      <c r="E566" s="96" t="s">
        <v>2206</v>
      </c>
      <c r="F566" s="435"/>
      <c r="I566" s="524"/>
    </row>
    <row r="567" spans="1:9">
      <c r="A567" s="518"/>
      <c r="B567" s="518"/>
      <c r="C567" s="521"/>
      <c r="E567" s="480"/>
      <c r="F567" s="480"/>
      <c r="I567" s="524"/>
    </row>
    <row r="568" spans="1:9">
      <c r="A568" s="518"/>
      <c r="B568" s="519" t="s">
        <v>2739</v>
      </c>
      <c r="C568" s="521"/>
      <c r="D568" s="1294" t="s">
        <v>1148</v>
      </c>
      <c r="E568" s="1294"/>
      <c r="F568" s="1294"/>
      <c r="I568" s="524" t="s">
        <v>2100</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c r="A573" s="518"/>
      <c r="B573" s="519" t="s">
        <v>2739</v>
      </c>
      <c r="C573" s="521"/>
      <c r="D573" s="1293" t="s">
        <v>2377</v>
      </c>
      <c r="E573" s="1293"/>
      <c r="F573" s="1293"/>
      <c r="I573" s="524" t="s">
        <v>2101</v>
      </c>
    </row>
    <row r="574" spans="1:9">
      <c r="A574" s="518"/>
      <c r="B574" s="518"/>
      <c r="C574" s="521"/>
      <c r="D574" s="1293"/>
      <c r="E574" s="1293"/>
      <c r="F574" s="1293"/>
      <c r="I574" s="524"/>
    </row>
    <row r="575" spans="1:9">
      <c r="A575" s="518"/>
      <c r="B575" s="518"/>
      <c r="C575" s="521"/>
      <c r="D575" s="1293"/>
      <c r="E575" s="1293"/>
      <c r="F575" s="1293"/>
      <c r="I575" s="524"/>
    </row>
    <row r="576" spans="1:9">
      <c r="A576" s="518"/>
      <c r="B576" s="518"/>
      <c r="C576" s="521"/>
      <c r="D576" s="1293"/>
      <c r="E576" s="1293"/>
      <c r="F576" s="1293"/>
      <c r="I576" s="524"/>
    </row>
    <row r="577" spans="1:9">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2102</v>
      </c>
    </row>
    <row r="583" spans="1:9">
      <c r="A583" s="517"/>
      <c r="B583" s="519" t="s">
        <v>2739</v>
      </c>
      <c r="D583" s="1280" t="s">
        <v>903</v>
      </c>
      <c r="E583" s="1280"/>
      <c r="F583" s="1280"/>
      <c r="I583" s="524"/>
    </row>
    <row r="584" spans="1:9">
      <c r="A584" s="524"/>
      <c r="B584" s="524"/>
      <c r="D584" s="510"/>
      <c r="I584" s="524"/>
    </row>
    <row r="585" spans="1:9">
      <c r="A585" s="524"/>
      <c r="B585" s="519" t="s">
        <v>2739</v>
      </c>
      <c r="D585" s="1280" t="s">
        <v>2378</v>
      </c>
      <c r="E585" s="1280"/>
      <c r="F585" s="1280"/>
      <c r="I585" s="524" t="s">
        <v>2104</v>
      </c>
    </row>
    <row r="586" spans="1:9">
      <c r="A586" s="524"/>
      <c r="B586" s="524"/>
      <c r="D586" s="1280"/>
      <c r="E586" s="1280"/>
      <c r="F586" s="1280"/>
      <c r="I586" s="524" t="s">
        <v>2103</v>
      </c>
    </row>
    <row r="587" spans="1:9">
      <c r="A587" s="524"/>
      <c r="B587" s="524"/>
      <c r="D587" s="1280"/>
      <c r="E587" s="1280"/>
      <c r="F587" s="1280"/>
      <c r="I587" s="524"/>
    </row>
    <row r="588" spans="1:9">
      <c r="A588" s="524"/>
      <c r="B588" s="524"/>
      <c r="D588" s="1280"/>
      <c r="E588" s="1280"/>
      <c r="F588" s="1280"/>
      <c r="I588" s="524"/>
    </row>
    <row r="589" spans="1:9">
      <c r="A589" s="524"/>
      <c r="B589" s="519" t="s">
        <v>2740</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2739</v>
      </c>
      <c r="D594" s="1280" t="s">
        <v>2379</v>
      </c>
      <c r="E594" s="1280"/>
      <c r="F594" s="1280"/>
      <c r="I594" s="524"/>
    </row>
    <row r="595" spans="1:9">
      <c r="A595" s="524"/>
      <c r="B595" s="524"/>
      <c r="D595" s="1280"/>
      <c r="E595" s="1280"/>
      <c r="F595" s="1280"/>
      <c r="I595" s="524"/>
    </row>
    <row r="596" spans="1:9">
      <c r="A596" s="524"/>
      <c r="B596" s="524"/>
      <c r="D596" s="533"/>
      <c r="I596" s="524"/>
    </row>
    <row r="597" spans="1:9">
      <c r="A597" s="524"/>
      <c r="B597" s="519" t="s">
        <v>2740</v>
      </c>
      <c r="D597" s="1280" t="s">
        <v>1103</v>
      </c>
      <c r="E597" s="1280"/>
      <c r="F597" s="1280"/>
      <c r="I597" s="524" t="s">
        <v>2151</v>
      </c>
    </row>
    <row r="598" spans="1:9">
      <c r="A598" s="524"/>
      <c r="B598" s="524"/>
      <c r="D598" s="1280"/>
      <c r="E598" s="1280"/>
      <c r="F598" s="1280"/>
      <c r="I598" s="524"/>
    </row>
    <row r="599" spans="1:9">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2739</v>
      </c>
      <c r="D605" s="1333" t="s">
        <v>2208</v>
      </c>
      <c r="E605" s="1333"/>
      <c r="F605" s="1333"/>
      <c r="I605" s="524" t="s">
        <v>2132</v>
      </c>
    </row>
    <row r="606" spans="1:9">
      <c r="D606" s="1333"/>
      <c r="E606" s="1333"/>
      <c r="F606" s="1333"/>
      <c r="I606" s="524"/>
    </row>
    <row r="607" spans="1:9">
      <c r="D607" s="416"/>
      <c r="E607" s="1071" t="s">
        <v>2209</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2739</v>
      </c>
      <c r="D615" s="1291" t="s">
        <v>1189</v>
      </c>
      <c r="E615" s="1291"/>
      <c r="F615" s="1291"/>
      <c r="I615" s="524" t="s">
        <v>2152</v>
      </c>
    </row>
    <row r="616" spans="1:9">
      <c r="D616" s="1291"/>
      <c r="E616" s="1291"/>
      <c r="F616" s="1291"/>
      <c r="I616" s="524"/>
    </row>
    <row r="617" spans="1:9">
      <c r="I617" s="524"/>
    </row>
    <row r="618" spans="1:9">
      <c r="B618" s="519" t="s">
        <v>2739</v>
      </c>
      <c r="D618" s="1291" t="s">
        <v>1190</v>
      </c>
      <c r="E618" s="1291"/>
      <c r="F618" s="1291"/>
      <c r="I618" s="524" t="s">
        <v>2105</v>
      </c>
    </row>
    <row r="619" spans="1:9">
      <c r="C619" s="534"/>
      <c r="D619" s="1291"/>
      <c r="E619" s="1291"/>
      <c r="F619" s="1291"/>
      <c r="I619" s="524"/>
    </row>
    <row r="620" spans="1:9">
      <c r="C620" s="534"/>
      <c r="I620" s="524"/>
    </row>
    <row r="621" spans="1:9">
      <c r="B621" s="519" t="s">
        <v>2740</v>
      </c>
      <c r="C621" s="534"/>
      <c r="D621" s="1291" t="s">
        <v>1191</v>
      </c>
      <c r="E621" s="1291"/>
      <c r="F621" s="1291"/>
      <c r="I621" s="524" t="s">
        <v>2153</v>
      </c>
    </row>
    <row r="622" spans="1:9">
      <c r="C622" s="534"/>
      <c r="D622" s="1291"/>
      <c r="E622" s="1291"/>
      <c r="F622" s="1291"/>
      <c r="I622" s="534" t="s">
        <v>2154</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2739</v>
      </c>
      <c r="D628" s="1333" t="s">
        <v>2380</v>
      </c>
      <c r="E628" s="1333"/>
      <c r="F628" s="1333"/>
      <c r="I628" s="524" t="s">
        <v>2133</v>
      </c>
    </row>
    <row r="629" spans="1:9">
      <c r="D629" s="1333"/>
      <c r="E629" s="1333"/>
      <c r="F629" s="1333"/>
      <c r="I629" s="524"/>
    </row>
    <row r="630" spans="1:9">
      <c r="D630" s="416"/>
      <c r="E630" s="1071" t="s">
        <v>2211</v>
      </c>
      <c r="F630" s="416"/>
      <c r="I630" s="524"/>
    </row>
    <row r="631" spans="1:9">
      <c r="D631" s="1293" t="s">
        <v>2210</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c r="A635" s="518"/>
      <c r="B635" s="519" t="s">
        <v>2740</v>
      </c>
      <c r="D635" s="1293" t="s">
        <v>1194</v>
      </c>
      <c r="E635" s="1293"/>
      <c r="F635" s="1293"/>
      <c r="I635" s="524" t="s">
        <v>2155</v>
      </c>
    </row>
    <row r="636" spans="1:9">
      <c r="A636" s="521"/>
      <c r="B636" s="521"/>
      <c r="C636" s="521"/>
      <c r="D636" s="1293"/>
      <c r="E636" s="1293"/>
      <c r="F636" s="1293"/>
      <c r="I636" s="524"/>
    </row>
    <row r="637" spans="1:9">
      <c r="A637" s="521"/>
      <c r="B637" s="521"/>
      <c r="C637" s="521"/>
      <c r="D637" s="480"/>
      <c r="E637" s="480"/>
      <c r="F637" s="480"/>
      <c r="I637" s="524"/>
    </row>
    <row r="638" spans="1:9">
      <c r="A638" s="518"/>
      <c r="B638" s="519" t="s">
        <v>2740</v>
      </c>
      <c r="C638" s="521"/>
      <c r="D638" s="1293" t="s">
        <v>1333</v>
      </c>
      <c r="E638" s="1293"/>
      <c r="F638" s="1293"/>
      <c r="I638" s="524" t="s">
        <v>2106</v>
      </c>
    </row>
    <row r="639" spans="1:9">
      <c r="A639" s="518"/>
      <c r="B639" s="518"/>
      <c r="C639" s="521"/>
      <c r="D639" s="1293"/>
      <c r="E639" s="1293"/>
      <c r="F639" s="1293"/>
      <c r="I639" s="524"/>
    </row>
    <row r="640" spans="1:9">
      <c r="A640" s="518"/>
      <c r="B640" s="518"/>
      <c r="C640" s="521"/>
      <c r="D640" s="1293"/>
      <c r="E640" s="1293"/>
      <c r="F640" s="1293"/>
      <c r="I640" s="524"/>
    </row>
    <row r="641" spans="1:9">
      <c r="A641" s="521"/>
      <c r="B641" s="519" t="s">
        <v>2740</v>
      </c>
      <c r="C641" s="521"/>
      <c r="D641" s="1294" t="s">
        <v>1196</v>
      </c>
      <c r="E641" s="1294"/>
      <c r="F641" s="1294"/>
      <c r="I641" s="524" t="s">
        <v>2106</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2739</v>
      </c>
      <c r="C648" s="521"/>
      <c r="D648" s="1293" t="s">
        <v>1391</v>
      </c>
      <c r="E648" s="1293"/>
      <c r="F648" s="1293"/>
      <c r="I648" s="524" t="s">
        <v>2158</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5" customHeight="1">
      <c r="A653" s="517"/>
      <c r="B653" s="519" t="s">
        <v>2740</v>
      </c>
      <c r="C653" s="521"/>
      <c r="D653" s="1293" t="s">
        <v>1393</v>
      </c>
      <c r="E653" s="1293"/>
      <c r="F653" s="1293"/>
      <c r="I653" s="524" t="s">
        <v>2158</v>
      </c>
    </row>
    <row r="654" spans="1:9">
      <c r="A654" s="517"/>
      <c r="B654" s="518"/>
      <c r="C654" s="521"/>
      <c r="D654" s="1293"/>
      <c r="E654" s="1293"/>
      <c r="F654" s="1293"/>
      <c r="I654" s="524"/>
    </row>
    <row r="655" spans="1:9">
      <c r="A655" s="517"/>
      <c r="B655" s="518"/>
      <c r="C655" s="521"/>
      <c r="D655" s="1293"/>
      <c r="E655" s="1293"/>
      <c r="F655" s="1293"/>
      <c r="I655" s="524"/>
    </row>
    <row r="656" spans="1:9">
      <c r="A656" s="517"/>
      <c r="B656" s="518"/>
      <c r="C656" s="521"/>
      <c r="D656" s="1293"/>
      <c r="E656" s="1293"/>
      <c r="F656" s="1293"/>
      <c r="I656" s="524"/>
    </row>
    <row r="657" spans="1:9">
      <c r="A657" s="517"/>
      <c r="B657" s="518"/>
      <c r="C657" s="521"/>
      <c r="D657" s="1293"/>
      <c r="E657" s="1293"/>
      <c r="F657" s="1293"/>
      <c r="I657" s="524"/>
    </row>
    <row r="658" spans="1:9" ht="14.25" customHeight="1">
      <c r="A658" s="517"/>
      <c r="B658" s="518"/>
      <c r="C658" s="521"/>
      <c r="F658" s="417"/>
      <c r="I658" s="524"/>
    </row>
    <row r="659" spans="1:9" ht="12.75" customHeight="1">
      <c r="A659" s="517"/>
      <c r="B659" s="519" t="s">
        <v>2740</v>
      </c>
      <c r="C659" s="521"/>
      <c r="D659" s="1293" t="s">
        <v>1392</v>
      </c>
      <c r="E659" s="1293"/>
      <c r="F659" s="1293"/>
      <c r="I659" s="524" t="s">
        <v>2158</v>
      </c>
    </row>
    <row r="660" spans="1:9">
      <c r="A660" s="517"/>
      <c r="B660" s="518"/>
      <c r="C660" s="521"/>
      <c r="D660" s="1293"/>
      <c r="E660" s="1293"/>
      <c r="F660" s="1293"/>
      <c r="I660" s="524"/>
    </row>
    <row r="661" spans="1:9">
      <c r="A661" s="518"/>
      <c r="B661" s="518"/>
      <c r="C661" s="521"/>
      <c r="D661" s="1293"/>
      <c r="E661" s="1293"/>
      <c r="F661" s="1293"/>
      <c r="I661" s="524"/>
    </row>
    <row r="662" spans="1:9">
      <c r="A662" s="518"/>
      <c r="B662" s="518"/>
      <c r="C662" s="521"/>
      <c r="D662" s="1293"/>
      <c r="E662" s="1293"/>
      <c r="F662" s="1293"/>
      <c r="I662" s="524"/>
    </row>
    <row r="663" spans="1:9">
      <c r="A663" s="518"/>
      <c r="B663" s="518"/>
      <c r="C663" s="521"/>
      <c r="D663" s="479"/>
      <c r="E663" s="479"/>
      <c r="F663" s="479"/>
      <c r="I663" s="524"/>
    </row>
    <row r="664" spans="1:9" ht="12.75" customHeight="1">
      <c r="A664" s="517"/>
      <c r="B664" s="519" t="s">
        <v>2740</v>
      </c>
      <c r="C664" s="521"/>
      <c r="D664" s="1293" t="s">
        <v>2381</v>
      </c>
      <c r="E664" s="1293"/>
      <c r="F664" s="1293"/>
      <c r="I664" s="524" t="s">
        <v>2158</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c r="A680" s="518"/>
      <c r="B680" s="519" t="s">
        <v>2739</v>
      </c>
      <c r="C680" s="517"/>
      <c r="D680" s="1294" t="s">
        <v>899</v>
      </c>
      <c r="E680" s="1294"/>
      <c r="F680" s="1294"/>
      <c r="H680" s="535"/>
      <c r="I680" s="517" t="s">
        <v>2134</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c r="A685" s="518"/>
      <c r="B685" s="519" t="s">
        <v>2740</v>
      </c>
      <c r="C685" s="517"/>
      <c r="D685" s="1293" t="s">
        <v>2382</v>
      </c>
      <c r="E685" s="1293"/>
      <c r="F685" s="1293"/>
      <c r="H685" s="535"/>
      <c r="I685" s="517" t="s">
        <v>2156</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2135</v>
      </c>
      <c r="J688" s="535"/>
      <c r="K688" s="535"/>
    </row>
    <row r="689" spans="1:11">
      <c r="A689" s="518"/>
      <c r="B689" s="519" t="s">
        <v>2739</v>
      </c>
      <c r="C689" s="517"/>
      <c r="D689" s="1294" t="s">
        <v>937</v>
      </c>
      <c r="E689" s="1294"/>
      <c r="F689" s="1294"/>
      <c r="H689" s="535"/>
      <c r="I689" s="517"/>
      <c r="J689" s="535"/>
      <c r="K689" s="535"/>
    </row>
    <row r="690" spans="1:11">
      <c r="A690" s="518"/>
      <c r="B690" s="518"/>
      <c r="C690" s="517"/>
      <c r="D690" s="1294" t="s">
        <v>909</v>
      </c>
      <c r="E690" s="1294"/>
      <c r="F690" s="1294"/>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c r="A693" s="518"/>
      <c r="B693" s="519" t="s">
        <v>2740</v>
      </c>
      <c r="C693" s="517"/>
      <c r="D693" s="1293" t="s">
        <v>1137</v>
      </c>
      <c r="E693" s="1293"/>
      <c r="F693" s="1293"/>
      <c r="H693" s="535"/>
      <c r="I693" s="517" t="s">
        <v>2107</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2740</v>
      </c>
      <c r="C700" s="517"/>
      <c r="D700" s="1293" t="s">
        <v>1308</v>
      </c>
      <c r="E700" s="1293"/>
      <c r="F700" s="1293"/>
      <c r="H700" s="535"/>
      <c r="I700" s="517" t="s">
        <v>2107</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c r="A703" s="518"/>
      <c r="B703" s="519" t="s">
        <v>2740</v>
      </c>
      <c r="C703" s="517"/>
      <c r="D703" s="1293" t="s">
        <v>1128</v>
      </c>
      <c r="E703" s="1293"/>
      <c r="F703" s="1293"/>
      <c r="H703" s="535"/>
      <c r="I703" s="517" t="s">
        <v>2107</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2740</v>
      </c>
      <c r="C716" s="517"/>
      <c r="D716" s="1293" t="s">
        <v>1135</v>
      </c>
      <c r="E716" s="1293"/>
      <c r="F716" s="1293"/>
      <c r="H716" s="535"/>
      <c r="I716" s="517" t="s">
        <v>2157</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2740</v>
      </c>
      <c r="C719" s="517"/>
      <c r="D719" s="1293" t="s">
        <v>1129</v>
      </c>
      <c r="E719" s="1293"/>
      <c r="F719" s="1293"/>
      <c r="H719" s="535"/>
      <c r="I719" s="517" t="s">
        <v>2157</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2740</v>
      </c>
      <c r="C723" s="517"/>
      <c r="D723" s="1293" t="s">
        <v>1130</v>
      </c>
      <c r="E723" s="1293"/>
      <c r="F723" s="1293"/>
      <c r="H723" s="535"/>
      <c r="I723" s="517" t="s">
        <v>2157</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c r="A727" s="518"/>
      <c r="B727" s="519" t="s">
        <v>2740</v>
      </c>
      <c r="C727" s="517"/>
      <c r="D727" s="1293" t="s">
        <v>1131</v>
      </c>
      <c r="E727" s="1293"/>
      <c r="F727" s="1293"/>
      <c r="H727" s="535"/>
      <c r="I727" s="517" t="s">
        <v>2108</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c r="A732" s="518"/>
      <c r="B732" s="519" t="s">
        <v>2740</v>
      </c>
      <c r="C732" s="517"/>
      <c r="D732" s="1293" t="s">
        <v>2505</v>
      </c>
      <c r="E732" s="1293"/>
      <c r="F732" s="1293"/>
      <c r="H732" s="535"/>
      <c r="I732" s="517" t="s">
        <v>2124</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2391</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c r="A746" s="518"/>
      <c r="B746" s="519" t="s">
        <v>2739</v>
      </c>
      <c r="D746" s="1293" t="s">
        <v>1107</v>
      </c>
      <c r="E746" s="1293"/>
      <c r="F746" s="1293"/>
      <c r="G746" s="535"/>
      <c r="H746" s="535"/>
      <c r="I746" s="517" t="s">
        <v>2109</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c r="A753" s="537"/>
      <c r="B753" s="519" t="s">
        <v>2739</v>
      </c>
      <c r="C753" s="538"/>
      <c r="D753" s="1293" t="s">
        <v>1349</v>
      </c>
      <c r="E753" s="1293"/>
      <c r="F753" s="1293"/>
      <c r="I753" s="1261" t="s">
        <v>2109</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c r="A758" s="518"/>
      <c r="B758" s="519" t="s">
        <v>2740</v>
      </c>
      <c r="C758" s="538"/>
      <c r="D758" s="1291" t="s">
        <v>1350</v>
      </c>
      <c r="E758" s="1291"/>
      <c r="F758" s="1291"/>
      <c r="I758" s="1261" t="s">
        <v>2110</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c r="A762" s="518"/>
      <c r="B762" s="519" t="s">
        <v>2740</v>
      </c>
      <c r="D762" s="1293" t="s">
        <v>1305</v>
      </c>
      <c r="E762" s="1293"/>
      <c r="F762" s="1293"/>
      <c r="G762" s="535"/>
      <c r="H762" s="535"/>
      <c r="I762" s="517" t="s">
        <v>2109</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2740</v>
      </c>
      <c r="D765" s="1293" t="s">
        <v>1322</v>
      </c>
      <c r="E765" s="1293"/>
      <c r="F765" s="1293"/>
      <c r="G765" s="535"/>
      <c r="H765" s="535"/>
      <c r="I765" s="517" t="s">
        <v>2109</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1992</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2046</v>
      </c>
      <c r="E771" s="1334"/>
      <c r="F771" s="1334"/>
      <c r="G771" s="3"/>
      <c r="I771" s="524"/>
    </row>
    <row r="772" spans="1:9">
      <c r="A772" s="57"/>
      <c r="B772" s="57"/>
      <c r="C772" s="385"/>
      <c r="D772" s="1279" t="s">
        <v>1945</v>
      </c>
      <c r="E772" s="1279"/>
      <c r="F772" s="1279"/>
      <c r="G772" s="3"/>
      <c r="I772" s="524"/>
    </row>
    <row r="773" spans="1:9">
      <c r="A773" s="57"/>
      <c r="B773" s="57"/>
      <c r="C773" s="385"/>
      <c r="D773" s="481"/>
      <c r="E773" s="481"/>
      <c r="F773" s="481"/>
      <c r="G773" s="3"/>
      <c r="I773" s="524"/>
    </row>
    <row r="774" spans="1:9">
      <c r="A774" s="57"/>
      <c r="B774" s="519" t="s">
        <v>2739</v>
      </c>
      <c r="C774" s="385"/>
      <c r="D774" s="1306" t="s">
        <v>1946</v>
      </c>
      <c r="E774" s="1306"/>
      <c r="F774" s="1306"/>
      <c r="G774" s="3"/>
      <c r="I774" s="517" t="s">
        <v>2159</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2740</v>
      </c>
      <c r="C778" s="172"/>
      <c r="D778" s="1306" t="s">
        <v>1947</v>
      </c>
      <c r="E778" s="1306"/>
      <c r="F778" s="1306"/>
      <c r="G778" s="3"/>
      <c r="I778" s="517" t="s">
        <v>2159</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c r="A782" s="176"/>
      <c r="B782" s="519" t="s">
        <v>2740</v>
      </c>
      <c r="C782" s="1024"/>
      <c r="D782" s="1306" t="s">
        <v>1948</v>
      </c>
      <c r="E782" s="1306"/>
      <c r="F782" s="1306"/>
      <c r="G782" s="1023"/>
      <c r="I782" s="517" t="s">
        <v>2159</v>
      </c>
    </row>
    <row r="783" spans="1:9">
      <c r="A783" s="176"/>
      <c r="B783" s="176"/>
      <c r="C783" s="1024"/>
      <c r="D783" s="1306"/>
      <c r="E783" s="1306"/>
      <c r="F783" s="1306"/>
      <c r="G783" s="1023"/>
      <c r="I783" s="524"/>
    </row>
    <row r="784" spans="1:9">
      <c r="A784" s="176"/>
      <c r="B784" s="176"/>
      <c r="C784" s="1024"/>
      <c r="D784" s="1306"/>
      <c r="E784" s="1306"/>
      <c r="F784" s="1306"/>
      <c r="G784" s="1023"/>
      <c r="I784" s="524"/>
    </row>
    <row r="785" spans="1:9">
      <c r="A785" s="176"/>
      <c r="B785" s="176"/>
      <c r="C785" s="1024"/>
      <c r="D785" s="118"/>
      <c r="E785" s="3"/>
      <c r="F785" s="3"/>
      <c r="G785" s="1023"/>
      <c r="I785" s="524"/>
    </row>
    <row r="786" spans="1:9">
      <c r="A786" s="176"/>
      <c r="B786" s="519" t="s">
        <v>2740</v>
      </c>
      <c r="C786" s="1024"/>
      <c r="D786" s="1306" t="s">
        <v>1949</v>
      </c>
      <c r="E786" s="1306"/>
      <c r="F786" s="1306"/>
      <c r="G786" s="1023"/>
      <c r="I786" s="517" t="s">
        <v>2159</v>
      </c>
    </row>
    <row r="787" spans="1:9">
      <c r="A787" s="176"/>
      <c r="B787" s="176"/>
      <c r="C787" s="1024"/>
      <c r="D787" s="1306"/>
      <c r="E787" s="1306"/>
      <c r="F787" s="1306"/>
      <c r="G787" s="1023"/>
      <c r="I787" s="524"/>
    </row>
    <row r="788" spans="1:9">
      <c r="A788" s="176"/>
      <c r="B788" s="176"/>
      <c r="C788" s="1024"/>
      <c r="D788" s="1306"/>
      <c r="E788" s="1306"/>
      <c r="F788" s="1306"/>
      <c r="G788" s="1023"/>
      <c r="I788" s="524"/>
    </row>
    <row r="789" spans="1:9">
      <c r="A789" s="176"/>
      <c r="B789" s="176"/>
      <c r="C789" s="1024"/>
      <c r="D789" s="1306"/>
      <c r="E789" s="1306"/>
      <c r="F789" s="1306"/>
      <c r="G789" s="1023"/>
      <c r="I789" s="524"/>
    </row>
    <row r="790" spans="1:9">
      <c r="A790" s="176"/>
      <c r="B790" s="176"/>
      <c r="C790" s="1024"/>
      <c r="D790" s="1306"/>
      <c r="E790" s="1306"/>
      <c r="F790" s="1306"/>
      <c r="G790" s="1023"/>
      <c r="I790" s="524"/>
    </row>
    <row r="791" spans="1:9">
      <c r="A791" s="176"/>
      <c r="B791" s="176"/>
      <c r="C791" s="1024"/>
      <c r="D791" s="1306"/>
      <c r="E791" s="1306"/>
      <c r="F791" s="1306"/>
      <c r="G791" s="1023"/>
      <c r="I791" s="524"/>
    </row>
    <row r="792" spans="1:9">
      <c r="A792" s="176"/>
      <c r="B792" s="176"/>
      <c r="C792" s="1024"/>
      <c r="D792" s="1306" t="s">
        <v>1993</v>
      </c>
      <c r="E792" s="1306"/>
      <c r="F792" s="1306"/>
      <c r="G792" s="1023"/>
      <c r="I792" s="524"/>
    </row>
    <row r="793" spans="1:9">
      <c r="A793" s="176"/>
      <c r="B793" s="176"/>
      <c r="C793" s="1024"/>
      <c r="D793" s="1306"/>
      <c r="E793" s="1306"/>
      <c r="F793" s="1306"/>
      <c r="G793" s="1023"/>
      <c r="I793" s="524"/>
    </row>
    <row r="794" spans="1:9">
      <c r="A794" s="176"/>
      <c r="B794" s="176"/>
      <c r="C794" s="1024"/>
      <c r="D794" s="1306"/>
      <c r="E794" s="1306"/>
      <c r="F794" s="1306"/>
      <c r="G794" s="1023"/>
      <c r="I794" s="524"/>
    </row>
    <row r="795" spans="1:9">
      <c r="A795" s="176"/>
      <c r="B795" s="385"/>
      <c r="C795" s="1024"/>
      <c r="D795" s="1025"/>
      <c r="E795" s="1025"/>
      <c r="F795" s="1025"/>
      <c r="G795" s="1023"/>
      <c r="I795" s="524"/>
    </row>
    <row r="796" spans="1:9">
      <c r="A796" s="176"/>
      <c r="B796" s="519" t="s">
        <v>2740</v>
      </c>
      <c r="C796" s="1024"/>
      <c r="D796" s="1306" t="s">
        <v>1950</v>
      </c>
      <c r="E796" s="1306"/>
      <c r="F796" s="1306"/>
      <c r="G796" s="1023"/>
      <c r="I796" s="517" t="s">
        <v>2159</v>
      </c>
    </row>
    <row r="797" spans="1:9">
      <c r="A797" s="176"/>
      <c r="B797" s="176"/>
      <c r="C797" s="1024"/>
      <c r="D797" s="1306"/>
      <c r="E797" s="1306"/>
      <c r="F797" s="1306"/>
      <c r="G797" s="1023"/>
      <c r="I797" s="524"/>
    </row>
    <row r="798" spans="1:9">
      <c r="A798" s="176"/>
      <c r="B798" s="176"/>
      <c r="C798" s="1024"/>
      <c r="D798" s="1306"/>
      <c r="E798" s="1306"/>
      <c r="F798" s="1306"/>
      <c r="G798" s="1023"/>
      <c r="I798" s="524"/>
    </row>
    <row r="799" spans="1:9">
      <c r="A799" s="176"/>
      <c r="B799" s="176"/>
      <c r="C799" s="1024"/>
      <c r="D799" s="1306"/>
      <c r="E799" s="1306"/>
      <c r="F799" s="1306"/>
      <c r="G799" s="1023"/>
      <c r="I799" s="524"/>
    </row>
    <row r="800" spans="1:9">
      <c r="A800" s="176"/>
      <c r="B800" s="176"/>
      <c r="C800" s="1024"/>
      <c r="D800" s="1306"/>
      <c r="E800" s="1306"/>
      <c r="F800" s="1306"/>
      <c r="G800" s="1023"/>
      <c r="I800" s="524"/>
    </row>
    <row r="801" spans="1:9">
      <c r="A801" s="176"/>
      <c r="B801" s="176"/>
      <c r="C801" s="1024"/>
      <c r="D801" s="1306"/>
      <c r="E801" s="1306"/>
      <c r="F801" s="1306"/>
      <c r="G801" s="1023"/>
      <c r="I801" s="524"/>
    </row>
    <row r="802" spans="1:9">
      <c r="A802" s="176"/>
      <c r="B802" s="176"/>
      <c r="C802" s="1024"/>
      <c r="D802" s="1017"/>
      <c r="E802" s="1017"/>
      <c r="F802" s="1017"/>
      <c r="G802" s="1023"/>
      <c r="I802" s="524"/>
    </row>
    <row r="803" spans="1:9">
      <c r="A803" s="176"/>
      <c r="B803" s="519" t="s">
        <v>2739</v>
      </c>
      <c r="C803" s="1024"/>
      <c r="D803" s="1306" t="s">
        <v>1951</v>
      </c>
      <c r="E803" s="1306"/>
      <c r="F803" s="1306"/>
      <c r="G803" s="1023"/>
      <c r="I803" s="517" t="s">
        <v>2159</v>
      </c>
    </row>
    <row r="804" spans="1:9">
      <c r="A804" s="176"/>
      <c r="B804" s="176"/>
      <c r="C804" s="1024"/>
      <c r="D804" s="1306"/>
      <c r="E804" s="1306"/>
      <c r="F804" s="1306"/>
      <c r="G804" s="1023"/>
      <c r="I804" s="524"/>
    </row>
    <row r="805" spans="1:9">
      <c r="A805" s="176"/>
      <c r="B805" s="176"/>
      <c r="C805" s="1024"/>
      <c r="D805" s="1306"/>
      <c r="E805" s="1306"/>
      <c r="F805" s="1306"/>
      <c r="G805" s="1023"/>
      <c r="I805" s="524"/>
    </row>
    <row r="806" spans="1:9">
      <c r="A806" s="176"/>
      <c r="B806" s="176"/>
      <c r="C806" s="1024"/>
      <c r="D806" s="1306"/>
      <c r="E806" s="1306"/>
      <c r="F806" s="1306"/>
      <c r="G806" s="1023"/>
      <c r="I806" s="524"/>
    </row>
    <row r="807" spans="1:9">
      <c r="A807" s="176"/>
      <c r="B807" s="176"/>
      <c r="C807" s="1024"/>
      <c r="D807" s="1306"/>
      <c r="E807" s="1306"/>
      <c r="F807" s="1306"/>
      <c r="G807" s="1023"/>
      <c r="I807" s="524"/>
    </row>
    <row r="808" spans="1:9">
      <c r="A808" s="176"/>
      <c r="B808" s="176"/>
      <c r="C808" s="1024"/>
      <c r="D808" s="1306"/>
      <c r="E808" s="1306"/>
      <c r="F808" s="1306"/>
      <c r="G808" s="1023"/>
      <c r="I808" s="524"/>
    </row>
    <row r="809" spans="1:9">
      <c r="A809" s="176"/>
      <c r="B809" s="176"/>
      <c r="C809" s="1024"/>
      <c r="D809" s="1017"/>
      <c r="E809" s="1017"/>
      <c r="F809" s="1017"/>
      <c r="G809" s="1023"/>
      <c r="I809" s="524"/>
    </row>
    <row r="810" spans="1:9">
      <c r="A810" s="176"/>
      <c r="B810" s="519" t="s">
        <v>2740</v>
      </c>
      <c r="C810" s="1024"/>
      <c r="D810" s="1303" t="s">
        <v>1952</v>
      </c>
      <c r="E810" s="1303"/>
      <c r="F810" s="1303"/>
      <c r="G810" s="1023"/>
      <c r="I810" s="517" t="s">
        <v>2159</v>
      </c>
    </row>
    <row r="811" spans="1:9">
      <c r="A811" s="176"/>
      <c r="B811" s="176"/>
      <c r="C811" s="1024"/>
      <c r="D811" s="1303"/>
      <c r="E811" s="1303"/>
      <c r="F811" s="1303"/>
      <c r="G811" s="1023"/>
      <c r="I811" s="524"/>
    </row>
    <row r="812" spans="1:9">
      <c r="A812" s="13"/>
      <c r="B812" s="13"/>
      <c r="C812" s="1024"/>
      <c r="D812" s="1303"/>
      <c r="E812" s="1303"/>
      <c r="F812" s="1303"/>
      <c r="G812" s="1023"/>
      <c r="I812" s="524"/>
    </row>
    <row r="813" spans="1:9">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1953</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1994</v>
      </c>
      <c r="E819" s="1299"/>
      <c r="F819" s="1299"/>
      <c r="G819" s="3"/>
      <c r="I819" s="524"/>
    </row>
    <row r="820" spans="1:9" ht="14.25" customHeight="1">
      <c r="A820" s="176"/>
      <c r="B820" s="176"/>
      <c r="C820" s="385"/>
      <c r="D820" s="1266" t="s">
        <v>1954</v>
      </c>
      <c r="E820" s="1266"/>
      <c r="F820" s="1266"/>
      <c r="G820" s="3"/>
      <c r="I820" s="524"/>
    </row>
    <row r="821" spans="1:9" ht="12.75" customHeight="1">
      <c r="A821" s="176"/>
      <c r="B821" s="176"/>
      <c r="C821" s="385"/>
      <c r="D821" s="474"/>
      <c r="E821" s="474"/>
      <c r="F821" s="474"/>
      <c r="G821" s="3"/>
      <c r="I821" s="524"/>
    </row>
    <row r="822" spans="1:9" ht="12.75" customHeight="1">
      <c r="A822" s="385"/>
      <c r="B822" s="519" t="s">
        <v>2739</v>
      </c>
      <c r="C822" s="1024"/>
      <c r="D822" s="1266" t="s">
        <v>1955</v>
      </c>
      <c r="E822" s="1266"/>
      <c r="F822" s="1266"/>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2392</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2739</v>
      </c>
      <c r="C836" s="1024"/>
      <c r="D836" s="1266" t="s">
        <v>1956</v>
      </c>
      <c r="E836" s="1266"/>
      <c r="F836" s="1266"/>
      <c r="G836" s="3"/>
      <c r="I836" s="524" t="s">
        <v>2145</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2740</v>
      </c>
      <c r="C840" s="1024"/>
      <c r="D840" s="1299" t="s">
        <v>1957</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2383</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2740</v>
      </c>
      <c r="C849" s="1024"/>
      <c r="D849" s="1266" t="s">
        <v>1958</v>
      </c>
      <c r="E849" s="1266"/>
      <c r="F849" s="1266"/>
      <c r="G849" s="3"/>
      <c r="I849" s="524" t="s">
        <v>2128</v>
      </c>
    </row>
    <row r="850" spans="1:9" ht="12.75" customHeight="1">
      <c r="A850" s="176"/>
      <c r="B850" s="176"/>
      <c r="C850" s="1024"/>
      <c r="D850" s="1266" t="s">
        <v>1959</v>
      </c>
      <c r="E850" s="1266"/>
      <c r="F850" s="1266"/>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2740</v>
      </c>
      <c r="C853" s="1024"/>
      <c r="D853" s="1266" t="s">
        <v>1960</v>
      </c>
      <c r="E853" s="1266"/>
      <c r="F853" s="1266"/>
      <c r="G853" s="3"/>
      <c r="I853" s="524" t="s">
        <v>2146</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1995</v>
      </c>
      <c r="E860" s="1282"/>
      <c r="F860" s="1282"/>
      <c r="G860" s="1023"/>
      <c r="I860" s="524"/>
    </row>
    <row r="861" spans="1:9" ht="12.75" customHeight="1">
      <c r="A861" s="385"/>
      <c r="B861" s="385"/>
      <c r="C861" s="175"/>
      <c r="D861" s="1335" t="s">
        <v>1962</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2739</v>
      </c>
      <c r="C863" s="385"/>
      <c r="D863" s="1277" t="s">
        <v>1963</v>
      </c>
      <c r="E863" s="1277"/>
      <c r="F863" s="1277"/>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2739</v>
      </c>
      <c r="C866" s="385"/>
      <c r="D866" s="1266" t="s">
        <v>1964</v>
      </c>
      <c r="E866" s="1284"/>
      <c r="F866" s="1284"/>
      <c r="G866" s="3"/>
      <c r="I866" s="524" t="s">
        <v>2146</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2740</v>
      </c>
      <c r="C869" s="385"/>
      <c r="D869" s="1331" t="s">
        <v>1965</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2383</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2740</v>
      </c>
      <c r="C878" s="385"/>
      <c r="D878" s="1309" t="s">
        <v>1958</v>
      </c>
      <c r="E878" s="1309"/>
      <c r="F878" s="1309"/>
      <c r="G878" s="1023"/>
      <c r="I878" s="524" t="s">
        <v>2128</v>
      </c>
    </row>
    <row r="879" spans="1:9" ht="12.75" customHeight="1">
      <c r="A879" s="176"/>
      <c r="B879" s="176"/>
      <c r="C879" s="385"/>
      <c r="D879" s="1309" t="s">
        <v>1959</v>
      </c>
      <c r="E879" s="1309"/>
      <c r="F879" s="1309"/>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2740</v>
      </c>
      <c r="C882" s="385"/>
      <c r="D882" s="1266" t="s">
        <v>1960</v>
      </c>
      <c r="E882" s="1266"/>
      <c r="F882" s="1266"/>
      <c r="G882" s="1023"/>
      <c r="I882" s="524" t="s">
        <v>2146</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1996</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2002</v>
      </c>
      <c r="E889" s="1305"/>
      <c r="F889" s="1305"/>
      <c r="G889" s="57"/>
      <c r="I889" s="524"/>
    </row>
    <row r="890" spans="1:9" ht="12.75" customHeight="1">
      <c r="A890" s="57"/>
      <c r="B890" s="57"/>
      <c r="C890" s="57"/>
      <c r="D890" s="1016"/>
      <c r="E890" s="1016"/>
      <c r="F890" s="1016"/>
      <c r="G890" s="57"/>
      <c r="I890" s="524"/>
    </row>
    <row r="891" spans="1:9" ht="12.75" customHeight="1">
      <c r="A891" s="57"/>
      <c r="B891" s="519" t="s">
        <v>2739</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5" t="s">
        <v>1997</v>
      </c>
      <c r="E893" s="1305"/>
      <c r="F893" s="1305"/>
      <c r="G893" s="1023"/>
      <c r="I893" s="524"/>
    </row>
    <row r="894" spans="1:9" ht="12.75" customHeight="1">
      <c r="A894" s="172"/>
      <c r="B894" s="172"/>
      <c r="C894" s="172"/>
      <c r="D894" s="1277" t="s">
        <v>1966</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2739</v>
      </c>
      <c r="C896" s="385"/>
      <c r="D896" s="1266" t="s">
        <v>1970</v>
      </c>
      <c r="E896" s="1266"/>
      <c r="F896" s="1266"/>
      <c r="G896" s="3"/>
      <c r="I896" s="524" t="s">
        <v>2112</v>
      </c>
    </row>
    <row r="897" spans="1:9" ht="12.75" customHeight="1">
      <c r="A897" s="385"/>
      <c r="B897" s="385"/>
      <c r="C897" s="385"/>
      <c r="D897" s="1266"/>
      <c r="E897" s="1266"/>
      <c r="F897" s="1266"/>
      <c r="G897" s="3"/>
      <c r="I897" s="524"/>
    </row>
    <row r="898" spans="1:9" ht="12.75" customHeight="1">
      <c r="A898" s="172"/>
      <c r="B898" s="172"/>
      <c r="C898" s="172"/>
      <c r="D898" s="1266" t="s">
        <v>1969</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2739</v>
      </c>
      <c r="C901" s="175"/>
      <c r="D901" s="1276" t="s">
        <v>1967</v>
      </c>
      <c r="E901" s="1276"/>
      <c r="F901" s="1276"/>
      <c r="G901" s="1023"/>
      <c r="I901" s="524" t="s">
        <v>2111</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2740</v>
      </c>
      <c r="C910" s="1024"/>
      <c r="D910" s="1266" t="s">
        <v>1971</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2740</v>
      </c>
      <c r="C913" s="1024"/>
      <c r="D913" s="1303" t="s">
        <v>1972</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2740</v>
      </c>
      <c r="C918" s="1024"/>
      <c r="D918" s="1277" t="s">
        <v>2384</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2740</v>
      </c>
      <c r="C920" s="1024"/>
      <c r="D920" s="1277" t="s">
        <v>2385</v>
      </c>
      <c r="E920" s="1277"/>
      <c r="F920" s="1277"/>
      <c r="G920" s="1023"/>
      <c r="I920" s="524"/>
    </row>
    <row r="921" spans="1:9" ht="12.75" customHeight="1">
      <c r="A921" s="175"/>
      <c r="B921" s="175"/>
      <c r="C921" s="175"/>
      <c r="D921" s="2"/>
      <c r="E921" s="3"/>
      <c r="F921" s="1023"/>
      <c r="G921" s="1023"/>
      <c r="I921" s="524"/>
    </row>
    <row r="922" spans="1:9" ht="12.75" customHeight="1">
      <c r="A922" s="1032"/>
      <c r="B922" s="519" t="s">
        <v>2740</v>
      </c>
      <c r="C922" s="1033"/>
      <c r="D922" s="1276" t="s">
        <v>1968</v>
      </c>
      <c r="E922" s="1276"/>
      <c r="F922" s="1276"/>
      <c r="G922" s="1034"/>
      <c r="I922" s="524" t="s">
        <v>2161</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2739</v>
      </c>
      <c r="C932" s="175"/>
      <c r="D932" s="1332" t="s">
        <v>2163</v>
      </c>
      <c r="E932" s="1332"/>
      <c r="F932" s="1332"/>
      <c r="G932" s="1023"/>
      <c r="I932" s="524" t="s">
        <v>2161</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2739</v>
      </c>
      <c r="C940" s="175"/>
      <c r="D940" s="1275" t="s">
        <v>2457</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2740</v>
      </c>
      <c r="C947" s="1024"/>
      <c r="D947" s="1303" t="s">
        <v>1973</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2740</v>
      </c>
      <c r="C952" s="175"/>
      <c r="D952" s="1276" t="s">
        <v>2162</v>
      </c>
      <c r="E952" s="1276"/>
      <c r="F952" s="1276"/>
      <c r="G952" s="1023"/>
      <c r="I952" s="524" t="s">
        <v>2161</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1974</v>
      </c>
      <c r="E957" s="1282"/>
      <c r="F957" s="1282"/>
      <c r="G957" s="3"/>
      <c r="I957" s="524"/>
    </row>
    <row r="958" spans="1:9" ht="12.75" customHeight="1">
      <c r="A958" s="176"/>
      <c r="B958" s="519" t="s">
        <v>2740</v>
      </c>
      <c r="C958" s="385"/>
      <c r="D958" s="1277" t="s">
        <v>1998</v>
      </c>
      <c r="E958" s="1277"/>
      <c r="F958" s="1277"/>
      <c r="G958" s="3"/>
      <c r="I958" s="524" t="s">
        <v>2161</v>
      </c>
    </row>
    <row r="959" spans="1:9" ht="12.75" customHeight="1">
      <c r="A959" s="385"/>
      <c r="B959" s="385"/>
      <c r="C959" s="385"/>
      <c r="D959" s="3"/>
      <c r="E959" s="3"/>
      <c r="F959" s="3"/>
      <c r="G959" s="3"/>
      <c r="I959" s="524"/>
    </row>
    <row r="960" spans="1:9" ht="12.75" customHeight="1">
      <c r="A960" s="385"/>
      <c r="B960" s="385"/>
      <c r="C960" s="385"/>
      <c r="D960" s="1282" t="s">
        <v>1975</v>
      </c>
      <c r="E960" s="1282"/>
      <c r="F960" s="1282"/>
      <c r="G960"/>
      <c r="I960" s="524"/>
    </row>
    <row r="961" spans="1:9" ht="12.75" customHeight="1">
      <c r="A961" s="176"/>
      <c r="B961" s="519" t="s">
        <v>2740</v>
      </c>
      <c r="C961" s="385"/>
      <c r="D961" s="1266" t="s">
        <v>2386</v>
      </c>
      <c r="E961" s="1266"/>
      <c r="F961" s="1266"/>
      <c r="G961"/>
      <c r="I961" s="524" t="s">
        <v>2161</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1976</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1999</v>
      </c>
      <c r="E979" s="1282"/>
      <c r="F979" s="1282"/>
      <c r="G979" s="3"/>
      <c r="I979" s="524"/>
    </row>
    <row r="980" spans="1:9" ht="12.75" customHeight="1">
      <c r="A980" s="172"/>
      <c r="B980" s="172"/>
      <c r="C980" s="172"/>
      <c r="D980" s="1277" t="s">
        <v>1977</v>
      </c>
      <c r="E980" s="1277"/>
      <c r="F980" s="1277"/>
      <c r="G980" s="3"/>
      <c r="I980" s="524"/>
    </row>
    <row r="981" spans="1:9" ht="12.75" customHeight="1">
      <c r="A981" s="172"/>
      <c r="B981" s="172"/>
      <c r="C981" s="172"/>
      <c r="D981" s="3"/>
      <c r="E981" s="3"/>
      <c r="F981" s="1023"/>
      <c r="G981"/>
      <c r="I981" s="524"/>
    </row>
    <row r="982" spans="1:9" ht="12.75" customHeight="1">
      <c r="A982" s="385"/>
      <c r="B982" s="519" t="s">
        <v>2739</v>
      </c>
      <c r="C982" s="385"/>
      <c r="D982" s="1330" t="s">
        <v>2216</v>
      </c>
      <c r="E982" s="1330"/>
      <c r="F982" s="1330"/>
      <c r="G982"/>
      <c r="I982" s="524" t="s">
        <v>2141</v>
      </c>
    </row>
    <row r="983" spans="1:9" ht="12.75" customHeight="1">
      <c r="A983" s="385"/>
      <c r="B983" s="385"/>
      <c r="C983" s="385"/>
      <c r="D983" s="1330"/>
      <c r="E983" s="1330"/>
      <c r="F983" s="1330"/>
      <c r="G983"/>
      <c r="I983" s="524"/>
    </row>
    <row r="984" spans="1:9" ht="12.75" customHeight="1">
      <c r="A984" s="385"/>
      <c r="B984" s="385"/>
      <c r="C984" s="385"/>
      <c r="D984" s="1073"/>
      <c r="E984" s="1071" t="s">
        <v>2217</v>
      </c>
      <c r="F984" s="1073"/>
      <c r="G984"/>
      <c r="I984" s="524"/>
    </row>
    <row r="985" spans="1:9" ht="12.75" customHeight="1">
      <c r="A985" s="385"/>
      <c r="B985" s="385"/>
      <c r="C985" s="385"/>
      <c r="D985" s="1270" t="s">
        <v>2215</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2740</v>
      </c>
      <c r="C990" s="175"/>
      <c r="D990" s="1266" t="s">
        <v>1978</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2740</v>
      </c>
      <c r="C995" s="175"/>
      <c r="D995" s="1266" t="s">
        <v>1979</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2740</v>
      </c>
      <c r="C998" s="385"/>
      <c r="D998" s="1277" t="s">
        <v>1980</v>
      </c>
      <c r="E998" s="1277"/>
      <c r="F998" s="1277"/>
      <c r="G998"/>
      <c r="I998" s="524"/>
    </row>
    <row r="999" spans="1:9" ht="12.75" customHeight="1">
      <c r="A999" s="385"/>
      <c r="B999" s="385"/>
      <c r="C999" s="385"/>
      <c r="D999" s="3"/>
      <c r="E999" s="3"/>
      <c r="F999" s="3"/>
      <c r="G999"/>
      <c r="I999" s="524"/>
    </row>
    <row r="1000" spans="1:9" ht="12.75" customHeight="1">
      <c r="A1000" s="176"/>
      <c r="B1000" s="519" t="s">
        <v>2740</v>
      </c>
      <c r="C1000" s="385"/>
      <c r="D1000" s="1277" t="s">
        <v>1981</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2739</v>
      </c>
      <c r="C1002" s="385"/>
      <c r="D1002" s="1277" t="s">
        <v>1982</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2739</v>
      </c>
      <c r="C1004" s="385"/>
      <c r="D1004" s="1266" t="s">
        <v>1983</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2740</v>
      </c>
      <c r="C1007" s="1035"/>
      <c r="D1007" s="1306" t="s">
        <v>1984</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2740</v>
      </c>
      <c r="C1010" s="1035"/>
      <c r="D1010" s="1324" t="s">
        <v>1985</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2740</v>
      </c>
      <c r="C1012" s="385"/>
      <c r="D1012" s="1277" t="s">
        <v>1986</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2740</v>
      </c>
      <c r="C1014" s="385"/>
      <c r="D1014" s="1266" t="s">
        <v>1987</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1988</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1989</v>
      </c>
      <c r="E1019" s="1305"/>
      <c r="F1019" s="1305"/>
      <c r="G1019" s="3"/>
      <c r="I1019" s="524"/>
    </row>
    <row r="1020" spans="1:9" ht="12.75" customHeight="1">
      <c r="A1020" s="385"/>
      <c r="B1020" s="385"/>
      <c r="C1020" s="385"/>
      <c r="D1020" s="1324" t="s">
        <v>1990</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2004</v>
      </c>
      <c r="E1022" s="1305"/>
      <c r="F1022" s="1305"/>
      <c r="G1022" s="3"/>
      <c r="I1022" s="524" t="s">
        <v>2113</v>
      </c>
    </row>
    <row r="1023" spans="1:9" ht="12.75" customHeight="1">
      <c r="A1023" s="385"/>
      <c r="B1023" s="519" t="s">
        <v>2739</v>
      </c>
      <c r="C1023" s="385"/>
      <c r="D1023" s="1324" t="s">
        <v>1381</v>
      </c>
      <c r="E1023" s="1324"/>
      <c r="F1023" s="1324"/>
      <c r="G1023" s="3"/>
      <c r="I1023" s="524"/>
    </row>
    <row r="1024" spans="1:9" ht="12.75" customHeight="1">
      <c r="A1024" s="385"/>
      <c r="B1024" s="176"/>
      <c r="C1024" s="385"/>
      <c r="D1024" s="1324" t="s">
        <v>1991</v>
      </c>
      <c r="E1024" s="1324"/>
      <c r="F1024" s="1324"/>
      <c r="G1024" s="3"/>
      <c r="I1024" s="524"/>
    </row>
    <row r="1025" spans="1:9" ht="12.75" customHeight="1">
      <c r="A1025" s="385"/>
      <c r="B1025" s="385"/>
      <c r="C1025" s="385"/>
      <c r="D1025" s="1324"/>
      <c r="E1025" s="1324"/>
      <c r="F1025" s="1324"/>
      <c r="G1025" s="3"/>
      <c r="I1025" s="524"/>
    </row>
    <row r="1026" spans="1:9" ht="12.75" customHeight="1">
      <c r="A1026" s="1311" t="s">
        <v>2000</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1382</v>
      </c>
      <c r="E1028" s="1313"/>
      <c r="F1028" s="1313"/>
      <c r="G1028" s="3"/>
      <c r="I1028" s="524"/>
    </row>
    <row r="1029" spans="1:9" ht="12.75" hidden="1" customHeight="1">
      <c r="A1029" s="118"/>
      <c r="B1029" s="519" t="s">
        <v>308</v>
      </c>
      <c r="D1029" s="1315" t="s">
        <v>1381</v>
      </c>
      <c r="E1029" s="1315"/>
      <c r="F1029" s="1315"/>
      <c r="G1029" s="3"/>
      <c r="I1029" s="524"/>
    </row>
    <row r="1030" spans="1:9" ht="12.75" hidden="1" customHeight="1">
      <c r="A1030" s="118"/>
      <c r="B1030" s="433"/>
      <c r="D1030" s="1315" t="s">
        <v>2001</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2142</v>
      </c>
    </row>
    <row r="1033" spans="1:9" ht="12.75" customHeight="1">
      <c r="A1033" s="345"/>
      <c r="B1033" s="345"/>
      <c r="C1033" s="345"/>
      <c r="D1033" s="1309" t="s">
        <v>1113</v>
      </c>
      <c r="E1033" s="1309"/>
      <c r="F1033" s="1309"/>
      <c r="G1033" s="98"/>
      <c r="I1033" s="524"/>
    </row>
    <row r="1034" spans="1:9" ht="12.75" customHeight="1">
      <c r="A1034" s="176"/>
      <c r="B1034" s="519" t="s">
        <v>2740</v>
      </c>
      <c r="C1034" s="385"/>
      <c r="D1034" s="1309" t="s">
        <v>1006</v>
      </c>
      <c r="E1034" s="1309"/>
      <c r="F1034" s="1309"/>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311" t="s">
        <v>2021</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2740</v>
      </c>
      <c r="C1042" s="433"/>
      <c r="D1042" s="1327" t="s">
        <v>2005</v>
      </c>
      <c r="E1042" s="1327"/>
      <c r="F1042" s="1327"/>
      <c r="I1042" s="524" t="s">
        <v>2114</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2739</v>
      </c>
      <c r="C1050" s="433"/>
      <c r="D1050" s="433" t="s">
        <v>2003</v>
      </c>
      <c r="I1050" s="524" t="s">
        <v>2115</v>
      </c>
    </row>
    <row r="1051" spans="1:9">
      <c r="A1051" s="433"/>
      <c r="B1051" s="433"/>
      <c r="C1051" s="433"/>
      <c r="I1051" s="524"/>
    </row>
    <row r="1052" spans="1:9">
      <c r="A1052" s="433"/>
      <c r="B1052" s="519" t="s">
        <v>2739</v>
      </c>
      <c r="C1052" s="433"/>
      <c r="D1052" s="1327" t="s">
        <v>2009</v>
      </c>
      <c r="E1052" s="1327"/>
      <c r="F1052" s="1327"/>
      <c r="I1052" s="524" t="s">
        <v>2116</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2010</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2739</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2740</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2740</v>
      </c>
      <c r="C1067" s="433"/>
      <c r="D1067" s="119" t="s">
        <v>2019</v>
      </c>
      <c r="I1067" s="524" t="s">
        <v>2119</v>
      </c>
    </row>
    <row r="1068" spans="1:9">
      <c r="A1068" s="433"/>
      <c r="B1068" s="433"/>
      <c r="C1068" s="433"/>
      <c r="D1068" s="1266" t="s">
        <v>2020</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2740</v>
      </c>
      <c r="C1075" s="433"/>
      <c r="D1075" s="1326" t="s">
        <v>2012</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2017</v>
      </c>
      <c r="I1080" s="524"/>
    </row>
    <row r="1081" spans="1:9">
      <c r="A1081" s="433"/>
      <c r="B1081" s="433"/>
      <c r="C1081" s="433"/>
      <c r="I1081" s="524"/>
    </row>
    <row r="1082" spans="1:9">
      <c r="A1082" s="1311" t="s">
        <v>2022</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2740</v>
      </c>
      <c r="C1085" s="433"/>
      <c r="D1085" s="1328" t="s">
        <v>2230</v>
      </c>
      <c r="E1085" s="1328"/>
      <c r="F1085" s="1328"/>
      <c r="I1085" s="524" t="s">
        <v>2121</v>
      </c>
    </row>
    <row r="1086" spans="1:9">
      <c r="A1086" s="433"/>
      <c r="B1086" s="433"/>
      <c r="C1086" s="433"/>
      <c r="D1086" s="1328"/>
      <c r="E1086" s="1328"/>
      <c r="F1086" s="1328"/>
      <c r="I1086" s="524"/>
    </row>
    <row r="1087" spans="1:9">
      <c r="A1087" s="433"/>
      <c r="B1087" s="433"/>
      <c r="C1087" s="433"/>
      <c r="D1087" s="1329" t="s">
        <v>2503</v>
      </c>
      <c r="E1087" s="1266"/>
      <c r="F1087" s="1266"/>
      <c r="I1087" s="524"/>
    </row>
    <row r="1088" spans="1:9">
      <c r="A1088" s="433"/>
      <c r="B1088" s="433"/>
      <c r="C1088" s="433"/>
      <c r="D1088" s="561"/>
      <c r="I1088" s="524"/>
    </row>
    <row r="1089" spans="1:9">
      <c r="A1089" s="433"/>
      <c r="B1089" s="519" t="s">
        <v>2740</v>
      </c>
      <c r="C1089" s="433"/>
      <c r="D1089" s="1326" t="s">
        <v>2023</v>
      </c>
      <c r="E1089" s="1326"/>
      <c r="F1089" s="1326"/>
      <c r="I1089" s="524" t="s">
        <v>2122</v>
      </c>
    </row>
    <row r="1090" spans="1:9">
      <c r="A1090" s="433"/>
      <c r="B1090" s="433"/>
      <c r="C1090" s="433"/>
      <c r="D1090" s="1326"/>
      <c r="E1090" s="1326"/>
      <c r="F1090" s="1326"/>
      <c r="I1090" s="524"/>
    </row>
    <row r="1091" spans="1:9">
      <c r="A1091" s="433"/>
      <c r="B1091" s="433"/>
      <c r="C1091" s="433"/>
      <c r="D1091" s="561"/>
      <c r="I1091" s="524"/>
    </row>
    <row r="1092" spans="1:9">
      <c r="A1092" s="433"/>
      <c r="B1092" s="519" t="s">
        <v>2740</v>
      </c>
      <c r="C1092" s="433"/>
      <c r="D1092" s="1326" t="s">
        <v>2166</v>
      </c>
      <c r="E1092" s="1326"/>
      <c r="F1092" s="1326"/>
      <c r="I1092" s="524" t="s">
        <v>2164</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ht="12.5">
      <c r="A1098" s="433"/>
      <c r="B1098" s="433"/>
      <c r="C1098" s="433"/>
      <c r="D1098" s="561" t="s">
        <v>2165</v>
      </c>
      <c r="I1098" s="514"/>
    </row>
    <row r="1099" spans="1:9">
      <c r="A1099" s="433"/>
      <c r="B1099" s="519" t="s">
        <v>2740</v>
      </c>
      <c r="C1099" s="433"/>
      <c r="D1099" s="1326" t="s">
        <v>2024</v>
      </c>
      <c r="E1099" s="1326"/>
      <c r="F1099" s="1326"/>
      <c r="I1099" s="524" t="s">
        <v>2123</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2740</v>
      </c>
      <c r="C1103" s="433"/>
      <c r="D1103" s="1270" t="s">
        <v>2167</v>
      </c>
      <c r="E1103" s="1270"/>
      <c r="F1103" s="1270"/>
      <c r="I1103" s="524" t="s">
        <v>2124</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1070</v>
      </c>
      <c r="C1107" s="433"/>
      <c r="D1107" s="1266" t="s">
        <v>2169</v>
      </c>
      <c r="E1107" s="1266"/>
      <c r="F1107" s="1266"/>
      <c r="I1107" s="524" t="s">
        <v>2168</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5">
      <c r="A1112" s="433"/>
      <c r="B1112" s="433"/>
      <c r="C1112" s="433"/>
      <c r="I1112" s="1262"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Z704" sqref="Z704"/>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933"/>
      <c r="AV8" s="933"/>
      <c r="AW8" s="933"/>
      <c r="AX8" s="933"/>
      <c r="AY8" s="933"/>
    </row>
    <row r="9" spans="1:51" ht="13" customHeight="1">
      <c r="A9" s="1302" t="s">
        <v>2393</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 customHeight="1">
      <c r="A10" s="1302" t="s">
        <v>2582</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 customHeight="1">
      <c r="A11" s="1302" t="s">
        <v>1771</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 customHeight="1">
      <c r="A12" s="1411" t="s">
        <v>2639</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row>
    <row r="13" spans="1:51" ht="13" customHeight="1">
      <c r="A13" s="1264" t="s">
        <v>2394</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3"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2395</v>
      </c>
      <c r="C16" s="4"/>
      <c r="D16" s="4"/>
      <c r="E16" s="4"/>
      <c r="F16" s="4"/>
      <c r="G16" s="4"/>
      <c r="H16" s="1780" t="s">
        <v>2654</v>
      </c>
      <c r="I16" s="1781"/>
      <c r="J16" s="1781"/>
      <c r="K16" s="1781"/>
      <c r="L16" s="1781"/>
      <c r="M16" s="1781"/>
      <c r="N16" s="1781"/>
      <c r="O16" s="1781"/>
      <c r="P16" s="1781"/>
      <c r="Q16" s="1781"/>
      <c r="R16" s="1781"/>
      <c r="S16" s="1781"/>
      <c r="T16" s="1781"/>
      <c r="U16" s="1781"/>
      <c r="V16" s="1781"/>
      <c r="W16" s="1781"/>
      <c r="X16" s="1781"/>
      <c r="Y16" s="1781"/>
      <c r="Z16" s="1781"/>
      <c r="AA16" s="1781"/>
      <c r="AB16" s="1781"/>
      <c r="AC16" s="1781"/>
      <c r="AD16" s="1781"/>
      <c r="AE16" s="1781"/>
      <c r="AF16" s="1781"/>
      <c r="AG16" s="1781"/>
      <c r="AH16" s="1781"/>
      <c r="AI16" s="1781"/>
      <c r="AJ16" s="1781"/>
    </row>
    <row r="17" spans="1:52" ht="13" customHeight="1"/>
    <row r="18" spans="1:52" ht="13" customHeight="1">
      <c r="A18" s="57" t="s">
        <v>101</v>
      </c>
      <c r="C18" s="4"/>
      <c r="D18" s="4"/>
      <c r="E18" s="4"/>
      <c r="F18" s="4"/>
      <c r="G18" s="4"/>
      <c r="H18" s="1416" t="s">
        <v>2640</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row>
    <row r="19" spans="1:52" ht="13" customHeight="1"/>
    <row r="20" spans="1:52" ht="13" customHeight="1">
      <c r="A20" s="1412" t="s">
        <v>885</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35"/>
      <c r="AV20" s="935"/>
      <c r="AW20" s="935"/>
      <c r="AX20" s="935"/>
      <c r="AY20" s="935"/>
    </row>
    <row r="21" spans="1:52" ht="13" customHeight="1">
      <c r="A21" s="1782" t="s">
        <v>1034</v>
      </c>
      <c r="B21" s="1782"/>
      <c r="C21" s="1782"/>
      <c r="D21" s="1782"/>
      <c r="E21" s="1782"/>
      <c r="F21" s="1782"/>
      <c r="G21" s="1782"/>
      <c r="H21" s="1782"/>
      <c r="I21" s="1782"/>
      <c r="J21" s="1782"/>
      <c r="K21" s="1782"/>
      <c r="L21" s="1782"/>
      <c r="M21" s="1782"/>
      <c r="N21" s="1782"/>
      <c r="O21" s="1782"/>
      <c r="P21" s="1782"/>
      <c r="Q21" s="1782"/>
      <c r="R21" s="1782"/>
      <c r="S21" s="1782"/>
      <c r="T21" s="1782"/>
      <c r="U21" s="1782"/>
      <c r="V21" s="1782"/>
      <c r="W21" s="1782"/>
      <c r="X21" s="1782"/>
      <c r="Y21" s="1782"/>
      <c r="Z21" s="1782"/>
      <c r="AA21" s="1782"/>
      <c r="AB21" s="1782"/>
      <c r="AC21" s="1782"/>
      <c r="AD21" s="1782"/>
      <c r="AE21" s="1782"/>
      <c r="AF21" s="1782"/>
      <c r="AG21" s="1782"/>
      <c r="AH21" s="1782"/>
      <c r="AI21" s="1782"/>
      <c r="AJ21" s="1782"/>
      <c r="AK21" s="1782"/>
      <c r="AL21" s="1782"/>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28" t="s">
        <v>2507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779">
        <f>'Basis &amp; Credits'!AB56</f>
        <v>4199366</v>
      </c>
      <c r="N26" s="1779"/>
      <c r="O26" s="1779"/>
      <c r="P26" s="1779"/>
      <c r="Q26" s="1779"/>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6">
        <f>'Basis &amp; Credits'!AB78</f>
        <v>0</v>
      </c>
      <c r="N27" s="1366"/>
      <c r="O27" s="1366"/>
      <c r="P27" s="1366"/>
      <c r="Q27" s="1366"/>
      <c r="R27" s="3" t="s">
        <v>1377</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13" t="s">
        <v>2508</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row>
    <row r="30" spans="1:52" ht="13"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row>
    <row r="31" spans="1:52" ht="13"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1388</v>
      </c>
      <c r="C33" s="553"/>
      <c r="D33" s="553"/>
      <c r="E33" s="553"/>
      <c r="F33" s="553"/>
      <c r="G33" s="553"/>
      <c r="H33" s="553"/>
      <c r="I33" s="553"/>
      <c r="J33" s="553"/>
      <c r="K33" s="553"/>
      <c r="L33" s="553"/>
      <c r="M33" s="553"/>
      <c r="N33" s="553"/>
      <c r="O33" s="1429" t="s">
        <v>678</v>
      </c>
      <c r="P33" s="1429"/>
      <c r="Q33" s="1414" t="s">
        <v>2509</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row>
    <row r="34" spans="1:52" ht="13" customHeight="1">
      <c r="A34" s="1413" t="s">
        <v>2510</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row>
    <row r="35" spans="1:52" ht="13"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row>
    <row r="36" spans="1:52" ht="13"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row>
    <row r="37" spans="1:52" ht="13"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row>
    <row r="38" spans="1:52" ht="13" customHeight="1">
      <c r="A38" s="3"/>
      <c r="AZ38" s="20"/>
    </row>
    <row r="39" spans="1:52" ht="13" customHeight="1">
      <c r="A39" s="1266" t="s">
        <v>2511</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28" t="s">
        <v>2512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6" t="s">
        <v>2513</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2514</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2515</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15" t="s">
        <v>2517</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row>
    <row r="66" spans="1:52" ht="13"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row>
    <row r="67" spans="1:52" ht="13"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15" t="s">
        <v>2518</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row>
    <row r="70" spans="1:52" ht="13"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13" t="s">
        <v>2519</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row>
    <row r="73" spans="1:52" ht="13"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07" t="s">
        <v>2520</v>
      </c>
      <c r="B75" s="1807"/>
      <c r="C75" s="1807"/>
      <c r="D75" s="1807"/>
      <c r="E75" s="1807"/>
      <c r="F75" s="1807"/>
      <c r="G75" s="1807"/>
      <c r="H75" s="1807"/>
      <c r="I75" s="1807"/>
      <c r="J75" s="1807"/>
      <c r="K75" s="1807"/>
      <c r="L75" s="1807"/>
      <c r="M75" s="1807"/>
      <c r="N75" s="1807"/>
      <c r="O75" s="1807"/>
      <c r="P75" s="1807"/>
      <c r="Q75" s="1807"/>
      <c r="R75" s="1807"/>
      <c r="S75" s="1807"/>
      <c r="T75" s="1807"/>
      <c r="U75" s="1807"/>
      <c r="V75" s="1807"/>
      <c r="W75" s="1807"/>
      <c r="X75" s="1807"/>
      <c r="Y75" s="1807"/>
      <c r="Z75" s="1807"/>
      <c r="AA75" s="1807"/>
      <c r="AB75" s="1807"/>
      <c r="AC75" s="1807"/>
      <c r="AD75" s="1807"/>
      <c r="AE75" s="1807"/>
      <c r="AF75" s="1807"/>
      <c r="AG75" s="1807"/>
      <c r="AH75" s="1807"/>
      <c r="AI75" s="1807"/>
      <c r="AJ75" s="1807"/>
      <c r="AK75" s="1807"/>
      <c r="AL75" s="1807"/>
      <c r="AM75" s="1807"/>
      <c r="AN75" s="1807"/>
      <c r="AO75" s="1807"/>
      <c r="AP75" s="1807"/>
      <c r="AQ75" s="1807"/>
      <c r="AR75" s="1807"/>
      <c r="AS75" s="1807"/>
      <c r="AT75" s="1807"/>
      <c r="AU75" s="20"/>
      <c r="AV75" s="20"/>
      <c r="AW75" s="20"/>
      <c r="AX75" s="20"/>
      <c r="AY75" s="20"/>
      <c r="AZ75" s="20"/>
    </row>
    <row r="76" spans="1:52" ht="13" customHeight="1">
      <c r="A76" s="1807"/>
      <c r="B76" s="1807"/>
      <c r="C76" s="1807"/>
      <c r="D76" s="1807"/>
      <c r="E76" s="1807"/>
      <c r="F76" s="1807"/>
      <c r="G76" s="1807"/>
      <c r="H76" s="1807"/>
      <c r="I76" s="1807"/>
      <c r="J76" s="1807"/>
      <c r="K76" s="1807"/>
      <c r="L76" s="1807"/>
      <c r="M76" s="1807"/>
      <c r="N76" s="1807"/>
      <c r="O76" s="1807"/>
      <c r="P76" s="1807"/>
      <c r="Q76" s="1807"/>
      <c r="R76" s="1807"/>
      <c r="S76" s="1807"/>
      <c r="T76" s="1807"/>
      <c r="U76" s="1807"/>
      <c r="V76" s="1807"/>
      <c r="W76" s="1807"/>
      <c r="X76" s="1807"/>
      <c r="Y76" s="1807"/>
      <c r="Z76" s="1807"/>
      <c r="AA76" s="1807"/>
      <c r="AB76" s="1807"/>
      <c r="AC76" s="1807"/>
      <c r="AD76" s="1807"/>
      <c r="AE76" s="1807"/>
      <c r="AF76" s="1807"/>
      <c r="AG76" s="1807"/>
      <c r="AH76" s="1807"/>
      <c r="AI76" s="1807"/>
      <c r="AJ76" s="1807"/>
      <c r="AK76" s="1807"/>
      <c r="AL76" s="1807"/>
      <c r="AM76" s="1807"/>
      <c r="AN76" s="1807"/>
      <c r="AO76" s="1807"/>
      <c r="AP76" s="1807"/>
      <c r="AQ76" s="1807"/>
      <c r="AR76" s="1807"/>
      <c r="AS76" s="1807"/>
      <c r="AT76" s="1807"/>
      <c r="AU76" s="20"/>
      <c r="AV76" s="20"/>
      <c r="AW76" s="20"/>
      <c r="AX76" s="20"/>
      <c r="AY76" s="20"/>
      <c r="AZ76" s="17"/>
    </row>
    <row r="77" spans="1:52" ht="13" customHeight="1">
      <c r="A77" s="1807"/>
      <c r="B77" s="1807"/>
      <c r="C77" s="1807"/>
      <c r="D77" s="1807"/>
      <c r="E77" s="1807"/>
      <c r="F77" s="1807"/>
      <c r="G77" s="1807"/>
      <c r="H77" s="1807"/>
      <c r="I77" s="1807"/>
      <c r="J77" s="1807"/>
      <c r="K77" s="1807"/>
      <c r="L77" s="1807"/>
      <c r="M77" s="1807"/>
      <c r="N77" s="1807"/>
      <c r="O77" s="1807"/>
      <c r="P77" s="1807"/>
      <c r="Q77" s="1807"/>
      <c r="R77" s="1807"/>
      <c r="S77" s="1807"/>
      <c r="T77" s="1807"/>
      <c r="U77" s="1807"/>
      <c r="V77" s="1807"/>
      <c r="W77" s="1807"/>
      <c r="X77" s="1807"/>
      <c r="Y77" s="1807"/>
      <c r="Z77" s="1807"/>
      <c r="AA77" s="1807"/>
      <c r="AB77" s="1807"/>
      <c r="AC77" s="1807"/>
      <c r="AD77" s="1807"/>
      <c r="AE77" s="1807"/>
      <c r="AF77" s="1807"/>
      <c r="AG77" s="1807"/>
      <c r="AH77" s="1807"/>
      <c r="AI77" s="1807"/>
      <c r="AJ77" s="1807"/>
      <c r="AK77" s="1807"/>
      <c r="AL77" s="1807"/>
      <c r="AM77" s="1807"/>
      <c r="AN77" s="1807"/>
      <c r="AO77" s="1807"/>
      <c r="AP77" s="1807"/>
      <c r="AQ77" s="1807"/>
      <c r="AR77" s="1807"/>
      <c r="AS77" s="1807"/>
      <c r="AT77" s="1807"/>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15" t="s">
        <v>2521</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row>
    <row r="80" spans="1:52" ht="13"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row>
    <row r="81" spans="1:52" ht="13"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2522</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2523</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06" t="s">
        <v>2524</v>
      </c>
      <c r="B89" s="1806"/>
      <c r="C89" s="1806"/>
      <c r="D89" s="1806"/>
      <c r="E89" s="1806"/>
      <c r="F89" s="1806"/>
      <c r="G89" s="1806"/>
      <c r="H89" s="1806"/>
      <c r="I89" s="1806"/>
      <c r="J89" s="1806"/>
      <c r="K89" s="1806"/>
      <c r="L89" s="1806"/>
      <c r="M89" s="1806"/>
      <c r="N89" s="1806"/>
      <c r="O89" s="1806"/>
      <c r="P89" s="1806"/>
      <c r="Q89" s="1806"/>
      <c r="R89" s="1806"/>
      <c r="S89" s="1806"/>
      <c r="T89" s="1806"/>
      <c r="U89" s="1806"/>
      <c r="V89" s="1806"/>
      <c r="W89" s="1806"/>
      <c r="X89" s="1806"/>
      <c r="Y89" s="1806"/>
      <c r="Z89" s="1806"/>
      <c r="AA89" s="1806"/>
      <c r="AB89" s="1806"/>
      <c r="AC89" s="1806"/>
      <c r="AD89" s="1806"/>
      <c r="AE89" s="1806"/>
      <c r="AF89" s="1806"/>
      <c r="AG89" s="1806"/>
      <c r="AH89" s="1806"/>
      <c r="AI89" s="1806"/>
      <c r="AJ89" s="1806"/>
      <c r="AK89" s="1806"/>
      <c r="AL89" s="1806"/>
      <c r="AM89" s="1806"/>
      <c r="AN89" s="1806"/>
      <c r="AO89" s="1806"/>
      <c r="AP89" s="1806"/>
      <c r="AQ89" s="1806"/>
      <c r="AR89" s="1806"/>
      <c r="AS89" s="1806"/>
      <c r="AT89" s="1806"/>
      <c r="AU89" s="17"/>
      <c r="AV89" s="17"/>
      <c r="AW89" s="17"/>
      <c r="AX89" s="17"/>
      <c r="AY89" s="17"/>
      <c r="AZ89" s="20"/>
    </row>
    <row r="90" spans="1:52" ht="13" customHeight="1">
      <c r="A90" s="1806"/>
      <c r="B90" s="1806"/>
      <c r="C90" s="1806"/>
      <c r="D90" s="1806"/>
      <c r="E90" s="1806"/>
      <c r="F90" s="1806"/>
      <c r="G90" s="1806"/>
      <c r="H90" s="1806"/>
      <c r="I90" s="1806"/>
      <c r="J90" s="1806"/>
      <c r="K90" s="1806"/>
      <c r="L90" s="1806"/>
      <c r="M90" s="1806"/>
      <c r="N90" s="1806"/>
      <c r="O90" s="1806"/>
      <c r="P90" s="1806"/>
      <c r="Q90" s="1806"/>
      <c r="R90" s="1806"/>
      <c r="S90" s="1806"/>
      <c r="T90" s="1806"/>
      <c r="U90" s="1806"/>
      <c r="V90" s="1806"/>
      <c r="W90" s="1806"/>
      <c r="X90" s="1806"/>
      <c r="Y90" s="1806"/>
      <c r="Z90" s="1806"/>
      <c r="AA90" s="1806"/>
      <c r="AB90" s="1806"/>
      <c r="AC90" s="1806"/>
      <c r="AD90" s="1806"/>
      <c r="AE90" s="1806"/>
      <c r="AF90" s="1806"/>
      <c r="AG90" s="1806"/>
      <c r="AH90" s="1806"/>
      <c r="AI90" s="1806"/>
      <c r="AJ90" s="1806"/>
      <c r="AK90" s="1806"/>
      <c r="AL90" s="1806"/>
      <c r="AM90" s="1806"/>
      <c r="AN90" s="1806"/>
      <c r="AO90" s="1806"/>
      <c r="AP90" s="1806"/>
      <c r="AQ90" s="1806"/>
      <c r="AR90" s="1806"/>
      <c r="AS90" s="1806"/>
      <c r="AT90" s="1806"/>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07" t="s">
        <v>2525</v>
      </c>
      <c r="B92" s="1807"/>
      <c r="C92" s="1807"/>
      <c r="D92" s="1807"/>
      <c r="E92" s="1807"/>
      <c r="F92" s="1807"/>
      <c r="G92" s="1807"/>
      <c r="H92" s="1807"/>
      <c r="I92" s="1807"/>
      <c r="J92" s="1807"/>
      <c r="K92" s="1807"/>
      <c r="L92" s="1807"/>
      <c r="M92" s="1807"/>
      <c r="N92" s="1807"/>
      <c r="O92" s="1807"/>
      <c r="P92" s="1807"/>
      <c r="Q92" s="1807"/>
      <c r="R92" s="1807"/>
      <c r="S92" s="1807"/>
      <c r="T92" s="1807"/>
      <c r="U92" s="1807"/>
      <c r="V92" s="1807"/>
      <c r="W92" s="1807"/>
      <c r="X92" s="1807"/>
      <c r="Y92" s="1807"/>
      <c r="Z92" s="1807"/>
      <c r="AA92" s="1807"/>
      <c r="AB92" s="1807"/>
      <c r="AC92" s="1807"/>
      <c r="AD92" s="1807"/>
      <c r="AE92" s="1807"/>
      <c r="AF92" s="1807"/>
      <c r="AG92" s="1807"/>
      <c r="AH92" s="1807"/>
      <c r="AI92" s="1807"/>
      <c r="AJ92" s="1807"/>
      <c r="AK92" s="1807"/>
      <c r="AL92" s="1807"/>
      <c r="AM92" s="1807"/>
      <c r="AN92" s="1807"/>
      <c r="AO92" s="1807"/>
      <c r="AP92" s="1807"/>
      <c r="AQ92" s="1807"/>
      <c r="AR92" s="1807"/>
      <c r="AS92" s="1807"/>
      <c r="AT92" s="1807"/>
      <c r="AU92" s="20"/>
      <c r="AV92" s="20"/>
      <c r="AW92" s="20"/>
      <c r="AX92" s="20"/>
      <c r="AY92" s="20"/>
      <c r="AZ92" s="20"/>
    </row>
    <row r="93" spans="1:52" ht="13" customHeight="1">
      <c r="A93" s="1807"/>
      <c r="B93" s="1807"/>
      <c r="C93" s="1807"/>
      <c r="D93" s="1807"/>
      <c r="E93" s="1807"/>
      <c r="F93" s="1807"/>
      <c r="G93" s="1807"/>
      <c r="H93" s="1807"/>
      <c r="I93" s="1807"/>
      <c r="J93" s="1807"/>
      <c r="K93" s="1807"/>
      <c r="L93" s="1807"/>
      <c r="M93" s="1807"/>
      <c r="N93" s="1807"/>
      <c r="O93" s="1807"/>
      <c r="P93" s="1807"/>
      <c r="Q93" s="1807"/>
      <c r="R93" s="1807"/>
      <c r="S93" s="1807"/>
      <c r="T93" s="1807"/>
      <c r="U93" s="1807"/>
      <c r="V93" s="1807"/>
      <c r="W93" s="1807"/>
      <c r="X93" s="1807"/>
      <c r="Y93" s="1807"/>
      <c r="Z93" s="1807"/>
      <c r="AA93" s="1807"/>
      <c r="AB93" s="1807"/>
      <c r="AC93" s="1807"/>
      <c r="AD93" s="1807"/>
      <c r="AE93" s="1807"/>
      <c r="AF93" s="1807"/>
      <c r="AG93" s="1807"/>
      <c r="AH93" s="1807"/>
      <c r="AI93" s="1807"/>
      <c r="AJ93" s="1807"/>
      <c r="AK93" s="1807"/>
      <c r="AL93" s="1807"/>
      <c r="AM93" s="1807"/>
      <c r="AN93" s="1807"/>
      <c r="AO93" s="1807"/>
      <c r="AP93" s="1807"/>
      <c r="AQ93" s="1807"/>
      <c r="AR93" s="1807"/>
      <c r="AS93" s="1807"/>
      <c r="AT93" s="1807"/>
      <c r="AU93" s="20"/>
      <c r="AV93" s="20"/>
      <c r="AW93" s="20"/>
      <c r="AX93" s="20"/>
      <c r="AY93" s="20"/>
      <c r="AZ93" s="20"/>
    </row>
    <row r="94" spans="1:52" ht="13" customHeight="1">
      <c r="A94" s="1807"/>
      <c r="B94" s="1807"/>
      <c r="C94" s="1807"/>
      <c r="D94" s="1807"/>
      <c r="E94" s="1807"/>
      <c r="F94" s="1807"/>
      <c r="G94" s="1807"/>
      <c r="H94" s="1807"/>
      <c r="I94" s="1807"/>
      <c r="J94" s="1807"/>
      <c r="K94" s="1807"/>
      <c r="L94" s="1807"/>
      <c r="M94" s="1807"/>
      <c r="N94" s="1807"/>
      <c r="O94" s="1807"/>
      <c r="P94" s="1807"/>
      <c r="Q94" s="1807"/>
      <c r="R94" s="1807"/>
      <c r="S94" s="1807"/>
      <c r="T94" s="1807"/>
      <c r="U94" s="1807"/>
      <c r="V94" s="1807"/>
      <c r="W94" s="1807"/>
      <c r="X94" s="1807"/>
      <c r="Y94" s="1807"/>
      <c r="Z94" s="1807"/>
      <c r="AA94" s="1807"/>
      <c r="AB94" s="1807"/>
      <c r="AC94" s="1807"/>
      <c r="AD94" s="1807"/>
      <c r="AE94" s="1807"/>
      <c r="AF94" s="1807"/>
      <c r="AG94" s="1807"/>
      <c r="AH94" s="1807"/>
      <c r="AI94" s="1807"/>
      <c r="AJ94" s="1807"/>
      <c r="AK94" s="1807"/>
      <c r="AL94" s="1807"/>
      <c r="AM94" s="1807"/>
      <c r="AN94" s="1807"/>
      <c r="AO94" s="1807"/>
      <c r="AP94" s="1807"/>
      <c r="AQ94" s="1807"/>
      <c r="AR94" s="1807"/>
      <c r="AS94" s="1807"/>
      <c r="AT94" s="1807"/>
      <c r="AU94" s="20"/>
      <c r="AV94" s="20"/>
      <c r="AW94" s="20"/>
      <c r="AX94" s="20"/>
      <c r="AY94" s="20"/>
      <c r="AZ94" s="20"/>
    </row>
    <row r="95" spans="1:52" ht="13" customHeight="1">
      <c r="A95" s="1807"/>
      <c r="B95" s="1807"/>
      <c r="C95" s="1807"/>
      <c r="D95" s="1807"/>
      <c r="E95" s="1807"/>
      <c r="F95" s="1807"/>
      <c r="G95" s="1807"/>
      <c r="H95" s="1807"/>
      <c r="I95" s="1807"/>
      <c r="J95" s="1807"/>
      <c r="K95" s="1807"/>
      <c r="L95" s="1807"/>
      <c r="M95" s="1807"/>
      <c r="N95" s="1807"/>
      <c r="O95" s="1807"/>
      <c r="P95" s="1807"/>
      <c r="Q95" s="1807"/>
      <c r="R95" s="1807"/>
      <c r="S95" s="1807"/>
      <c r="T95" s="1807"/>
      <c r="U95" s="1807"/>
      <c r="V95" s="1807"/>
      <c r="W95" s="1807"/>
      <c r="X95" s="1807"/>
      <c r="Y95" s="1807"/>
      <c r="Z95" s="1807"/>
      <c r="AA95" s="1807"/>
      <c r="AB95" s="1807"/>
      <c r="AC95" s="1807"/>
      <c r="AD95" s="1807"/>
      <c r="AE95" s="1807"/>
      <c r="AF95" s="1807"/>
      <c r="AG95" s="1807"/>
      <c r="AH95" s="1807"/>
      <c r="AI95" s="1807"/>
      <c r="AJ95" s="1807"/>
      <c r="AK95" s="1807"/>
      <c r="AL95" s="1807"/>
      <c r="AM95" s="1807"/>
      <c r="AN95" s="1807"/>
      <c r="AO95" s="1807"/>
      <c r="AP95" s="1807"/>
      <c r="AQ95" s="1807"/>
      <c r="AR95" s="1807"/>
      <c r="AS95" s="1807"/>
      <c r="AT95" s="1807"/>
      <c r="AU95" s="20"/>
      <c r="AV95" s="20"/>
      <c r="AW95" s="20"/>
      <c r="AX95" s="20"/>
      <c r="AY95" s="20"/>
      <c r="AZ95" s="20"/>
    </row>
    <row r="96" spans="1:52" ht="13" customHeight="1">
      <c r="A96" s="1807"/>
      <c r="B96" s="1807"/>
      <c r="C96" s="1807"/>
      <c r="D96" s="1807"/>
      <c r="E96" s="1807"/>
      <c r="F96" s="1807"/>
      <c r="G96" s="1807"/>
      <c r="H96" s="1807"/>
      <c r="I96" s="1807"/>
      <c r="J96" s="1807"/>
      <c r="K96" s="1807"/>
      <c r="L96" s="1807"/>
      <c r="M96" s="1807"/>
      <c r="N96" s="1807"/>
      <c r="O96" s="1807"/>
      <c r="P96" s="1807"/>
      <c r="Q96" s="1807"/>
      <c r="R96" s="1807"/>
      <c r="S96" s="1807"/>
      <c r="T96" s="1807"/>
      <c r="U96" s="1807"/>
      <c r="V96" s="1807"/>
      <c r="W96" s="1807"/>
      <c r="X96" s="1807"/>
      <c r="Y96" s="1807"/>
      <c r="Z96" s="1807"/>
      <c r="AA96" s="1807"/>
      <c r="AB96" s="1807"/>
      <c r="AC96" s="1807"/>
      <c r="AD96" s="1807"/>
      <c r="AE96" s="1807"/>
      <c r="AF96" s="1807"/>
      <c r="AG96" s="1807"/>
      <c r="AH96" s="1807"/>
      <c r="AI96" s="1807"/>
      <c r="AJ96" s="1807"/>
      <c r="AK96" s="1807"/>
      <c r="AL96" s="1807"/>
      <c r="AM96" s="1807"/>
      <c r="AN96" s="1807"/>
      <c r="AO96" s="1807"/>
      <c r="AP96" s="1807"/>
      <c r="AQ96" s="1807"/>
      <c r="AR96" s="1807"/>
      <c r="AS96" s="1807"/>
      <c r="AT96" s="1807"/>
      <c r="AU96" s="20"/>
      <c r="AV96" s="20"/>
      <c r="AW96" s="20"/>
      <c r="AX96" s="20"/>
      <c r="AY96" s="20"/>
      <c r="AZ96" s="20"/>
    </row>
    <row r="97" spans="1:52" ht="13" customHeight="1">
      <c r="A97" s="1807"/>
      <c r="B97" s="1807"/>
      <c r="C97" s="1807"/>
      <c r="D97" s="1807"/>
      <c r="E97" s="1807"/>
      <c r="F97" s="1807"/>
      <c r="G97" s="1807"/>
      <c r="H97" s="1807"/>
      <c r="I97" s="1807"/>
      <c r="J97" s="1807"/>
      <c r="K97" s="1807"/>
      <c r="L97" s="1807"/>
      <c r="M97" s="1807"/>
      <c r="N97" s="1807"/>
      <c r="O97" s="1807"/>
      <c r="P97" s="1807"/>
      <c r="Q97" s="1807"/>
      <c r="R97" s="1807"/>
      <c r="S97" s="1807"/>
      <c r="T97" s="1807"/>
      <c r="U97" s="1807"/>
      <c r="V97" s="1807"/>
      <c r="W97" s="1807"/>
      <c r="X97" s="1807"/>
      <c r="Y97" s="1807"/>
      <c r="Z97" s="1807"/>
      <c r="AA97" s="1807"/>
      <c r="AB97" s="1807"/>
      <c r="AC97" s="1807"/>
      <c r="AD97" s="1807"/>
      <c r="AE97" s="1807"/>
      <c r="AF97" s="1807"/>
      <c r="AG97" s="1807"/>
      <c r="AH97" s="1807"/>
      <c r="AI97" s="1807"/>
      <c r="AJ97" s="1807"/>
      <c r="AK97" s="1807"/>
      <c r="AL97" s="1807"/>
      <c r="AM97" s="1807"/>
      <c r="AN97" s="1807"/>
      <c r="AO97" s="1807"/>
      <c r="AP97" s="1807"/>
      <c r="AQ97" s="1807"/>
      <c r="AR97" s="1807"/>
      <c r="AS97" s="1807"/>
      <c r="AT97" s="1807"/>
      <c r="AU97" s="20"/>
      <c r="AV97" s="20"/>
      <c r="AW97" s="20"/>
      <c r="AX97" s="20"/>
      <c r="AY97" s="20"/>
      <c r="AZ97" s="20"/>
    </row>
    <row r="98" spans="1:52" ht="13" customHeight="1">
      <c r="A98" s="1807"/>
      <c r="B98" s="1807"/>
      <c r="C98" s="1807"/>
      <c r="D98" s="1807"/>
      <c r="E98" s="1807"/>
      <c r="F98" s="1807"/>
      <c r="G98" s="1807"/>
      <c r="H98" s="1807"/>
      <c r="I98" s="1807"/>
      <c r="J98" s="1807"/>
      <c r="K98" s="1807"/>
      <c r="L98" s="1807"/>
      <c r="M98" s="1807"/>
      <c r="N98" s="1807"/>
      <c r="O98" s="1807"/>
      <c r="P98" s="1807"/>
      <c r="Q98" s="1807"/>
      <c r="R98" s="1807"/>
      <c r="S98" s="1807"/>
      <c r="T98" s="1807"/>
      <c r="U98" s="1807"/>
      <c r="V98" s="1807"/>
      <c r="W98" s="1807"/>
      <c r="X98" s="1807"/>
      <c r="Y98" s="1807"/>
      <c r="Z98" s="1807"/>
      <c r="AA98" s="1807"/>
      <c r="AB98" s="1807"/>
      <c r="AC98" s="1807"/>
      <c r="AD98" s="1807"/>
      <c r="AE98" s="1807"/>
      <c r="AF98" s="1807"/>
      <c r="AG98" s="1807"/>
      <c r="AH98" s="1807"/>
      <c r="AI98" s="1807"/>
      <c r="AJ98" s="1807"/>
      <c r="AK98" s="1807"/>
      <c r="AL98" s="1807"/>
      <c r="AM98" s="1807"/>
      <c r="AN98" s="1807"/>
      <c r="AO98" s="1807"/>
      <c r="AP98" s="1807"/>
      <c r="AQ98" s="1807"/>
      <c r="AR98" s="1807"/>
      <c r="AS98" s="1807"/>
      <c r="AT98" s="1807"/>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7" t="s">
        <v>2526</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7" t="s">
        <v>2527</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794"/>
      <c r="H113" s="1794"/>
      <c r="I113" s="3" t="s">
        <v>182</v>
      </c>
      <c r="L113" s="1794"/>
      <c r="M113" s="1794"/>
      <c r="N113" s="1794"/>
      <c r="O113" s="1794"/>
      <c r="P113" s="1789" t="s">
        <v>2529</v>
      </c>
      <c r="Q113" s="1789"/>
      <c r="R113" s="1789"/>
      <c r="S113" s="178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796"/>
      <c r="D115" s="1796"/>
      <c r="E115" s="1796"/>
      <c r="F115" s="1796"/>
      <c r="G115" s="1796"/>
      <c r="H115" s="1796"/>
      <c r="I115" s="1796"/>
      <c r="J115" s="1796"/>
      <c r="K115" s="179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794"/>
      <c r="Z117" s="1794"/>
      <c r="AA117" s="1794"/>
      <c r="AB117" s="1794"/>
      <c r="AC117" s="1794"/>
      <c r="AD117" s="1794"/>
      <c r="AE117" s="1794"/>
      <c r="AF117" s="1794"/>
      <c r="AG117" s="1794"/>
      <c r="AH117" s="1794"/>
      <c r="AI117" s="1794"/>
      <c r="AJ117" s="1794"/>
      <c r="AK117" s="1794"/>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94"/>
      <c r="Z120" s="1794"/>
      <c r="AA120" s="1794"/>
      <c r="AB120" s="1794"/>
      <c r="AC120" s="1794"/>
      <c r="AD120" s="1794"/>
      <c r="AE120" s="1794"/>
      <c r="AF120" s="1794"/>
      <c r="AG120" s="1794"/>
      <c r="AH120" s="1794"/>
      <c r="AI120" s="1794"/>
      <c r="AJ120" s="1794"/>
      <c r="AK120" s="1794"/>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94"/>
      <c r="Z123" s="1794"/>
      <c r="AA123" s="1794"/>
      <c r="AB123" s="1794"/>
      <c r="AC123" s="1794"/>
      <c r="AD123" s="1794"/>
      <c r="AE123" s="1794"/>
      <c r="AF123" s="1794"/>
      <c r="AG123" s="1794"/>
      <c r="AH123" s="1794"/>
      <c r="AI123" s="1794"/>
      <c r="AJ123" s="1794"/>
      <c r="AK123" s="1794"/>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16" t="s">
        <v>2642</v>
      </c>
      <c r="P153" s="1417"/>
      <c r="Q153" s="1417"/>
      <c r="R153" s="1417"/>
      <c r="S153" s="1417"/>
      <c r="T153" s="1417"/>
      <c r="U153" s="1417"/>
      <c r="V153" s="1417"/>
      <c r="W153" s="1417"/>
      <c r="X153" s="1417"/>
      <c r="Y153" s="1417"/>
      <c r="Z153" s="1417"/>
      <c r="AA153" s="1417"/>
      <c r="AB153" s="1417"/>
      <c r="AC153" s="1417"/>
      <c r="AD153" s="1417"/>
      <c r="AE153" s="1417"/>
      <c r="AF153" s="1417"/>
      <c r="AG153" s="1417"/>
      <c r="AH153" s="1417"/>
    </row>
    <row r="154" spans="1:72" ht="13" customHeight="1">
      <c r="D154" s="325" t="s">
        <v>442</v>
      </c>
      <c r="O154" s="1563" t="s">
        <v>2643</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3" customHeight="1">
      <c r="D155" s="8" t="s">
        <v>444</v>
      </c>
      <c r="F155" s="8"/>
      <c r="G155" s="8"/>
      <c r="H155" s="8"/>
      <c r="I155" s="8"/>
      <c r="J155" s="8"/>
      <c r="K155" s="8"/>
      <c r="L155" s="8"/>
      <c r="M155" s="8"/>
      <c r="N155" s="8"/>
      <c r="O155" s="1784" t="s">
        <v>443</v>
      </c>
      <c r="P155" s="1784"/>
      <c r="Q155" s="1784"/>
      <c r="R155" s="1784"/>
      <c r="S155" s="1784"/>
      <c r="T155" s="1784"/>
      <c r="U155" s="1784"/>
      <c r="V155" s="1784"/>
      <c r="W155" s="1784"/>
      <c r="X155" s="1784"/>
      <c r="Y155" s="1784"/>
      <c r="Z155" s="1784"/>
      <c r="AA155" s="1784"/>
      <c r="AB155" s="1784"/>
      <c r="AC155" s="1784"/>
      <c r="AD155" s="1784"/>
      <c r="AE155" s="1784"/>
      <c r="AF155" s="1784"/>
      <c r="AG155" s="1784"/>
      <c r="AH155" s="1784"/>
    </row>
    <row r="156" spans="1:72" ht="13" customHeight="1">
      <c r="D156" t="s">
        <v>314</v>
      </c>
      <c r="O156" s="1416" t="s">
        <v>2646</v>
      </c>
      <c r="P156" s="1421"/>
      <c r="Q156" s="1421"/>
      <c r="R156" s="1421"/>
      <c r="S156" s="1421"/>
      <c r="T156" s="1421"/>
      <c r="U156" s="1421"/>
      <c r="V156" s="1421"/>
      <c r="W156" s="1421"/>
      <c r="X156" s="1421"/>
      <c r="Y156" s="1421"/>
      <c r="Z156" s="1421"/>
      <c r="AA156" s="1421"/>
      <c r="AB156" s="1421"/>
      <c r="AC156" s="1421"/>
      <c r="AD156" s="1421"/>
      <c r="AE156" s="1421"/>
      <c r="AF156" s="1421"/>
      <c r="AG156" s="1421"/>
      <c r="AH156" s="1421"/>
      <c r="BT156" t="s">
        <v>308</v>
      </c>
    </row>
    <row r="157" spans="1:72" ht="13" customHeight="1">
      <c r="D157" t="s">
        <v>315</v>
      </c>
      <c r="O157" s="1416" t="s">
        <v>2647</v>
      </c>
      <c r="P157" s="1417"/>
      <c r="Q157" s="1417"/>
      <c r="R157" s="1417"/>
      <c r="S157" s="1417"/>
      <c r="T157" s="1417"/>
      <c r="U157" s="1417"/>
      <c r="V157" s="1417"/>
      <c r="W157" s="1417"/>
      <c r="X157" s="1417"/>
      <c r="Y157" s="8"/>
      <c r="Z157" s="8"/>
      <c r="AA157" s="8"/>
      <c r="AB157" s="8"/>
      <c r="AC157" s="8"/>
      <c r="AD157" s="8"/>
      <c r="AE157" s="8"/>
      <c r="AF157" s="8"/>
      <c r="BN157" s="23" t="s">
        <v>645</v>
      </c>
      <c r="BT157" t="s">
        <v>485</v>
      </c>
    </row>
    <row r="158" spans="1:72" ht="13" customHeight="1">
      <c r="D158" t="s">
        <v>316</v>
      </c>
      <c r="O158" s="1785">
        <v>92054</v>
      </c>
      <c r="P158" s="1785"/>
      <c r="Q158" s="1785"/>
      <c r="R158" s="1785"/>
      <c r="S158" s="9"/>
      <c r="T158" s="9"/>
      <c r="U158" s="9"/>
      <c r="V158" s="9"/>
      <c r="W158" s="9"/>
      <c r="X158" s="9"/>
      <c r="Y158" s="9"/>
      <c r="Z158" s="9"/>
      <c r="AA158" s="9"/>
      <c r="AB158" s="9"/>
      <c r="AC158" s="9"/>
      <c r="AD158" s="9"/>
      <c r="AE158" s="9"/>
      <c r="AF158" s="9"/>
      <c r="BN158" s="23" t="s">
        <v>646</v>
      </c>
      <c r="BT158" t="s">
        <v>486</v>
      </c>
    </row>
    <row r="159" spans="1:72" ht="13" customHeight="1">
      <c r="D159" t="s">
        <v>317</v>
      </c>
      <c r="O159" s="1444" t="s">
        <v>2644</v>
      </c>
      <c r="P159" s="1787"/>
      <c r="Q159" s="1787"/>
      <c r="R159" s="1787"/>
      <c r="S159" s="1787"/>
      <c r="T159" s="1787"/>
      <c r="V159" s="97" t="s">
        <v>272</v>
      </c>
      <c r="W159" s="1786"/>
      <c r="X159" s="1786"/>
      <c r="Y159" s="10"/>
      <c r="Z159" s="10"/>
      <c r="AA159" s="10"/>
      <c r="AB159" s="10"/>
      <c r="AC159" s="10"/>
      <c r="AD159" s="10"/>
      <c r="AE159" s="10"/>
      <c r="AF159" s="10"/>
      <c r="BN159" s="23" t="s">
        <v>340</v>
      </c>
      <c r="BT159" t="s">
        <v>487</v>
      </c>
    </row>
    <row r="160" spans="1:72" ht="13" customHeight="1">
      <c r="D160" t="s">
        <v>318</v>
      </c>
      <c r="O160" s="1787"/>
      <c r="P160" s="1787"/>
      <c r="Q160" s="1787"/>
      <c r="R160" s="1787"/>
      <c r="S160" s="1787"/>
      <c r="T160" s="1787"/>
      <c r="U160" s="10"/>
      <c r="V160" s="10"/>
      <c r="W160" s="10"/>
      <c r="X160" s="10"/>
      <c r="Y160" s="10"/>
      <c r="Z160" s="10"/>
      <c r="AA160" s="10"/>
      <c r="AB160" s="10"/>
      <c r="AC160" s="10"/>
      <c r="AD160" s="10"/>
      <c r="AE160" s="10"/>
      <c r="AF160" s="10"/>
      <c r="BN160" s="23" t="s">
        <v>669</v>
      </c>
      <c r="BT160" t="s">
        <v>488</v>
      </c>
    </row>
    <row r="161" spans="1:72" ht="13" customHeight="1">
      <c r="D161" t="s">
        <v>319</v>
      </c>
      <c r="O161" s="1778" t="s">
        <v>2645</v>
      </c>
      <c r="P161" s="1778"/>
      <c r="Q161" s="1778"/>
      <c r="R161" s="1778"/>
      <c r="S161" s="1778"/>
      <c r="T161" s="1778"/>
      <c r="U161" s="1778"/>
      <c r="V161" s="1778"/>
      <c r="W161" s="1778"/>
      <c r="X161" s="1778"/>
      <c r="Y161" s="1778"/>
      <c r="Z161" s="1778"/>
      <c r="AA161" s="1778"/>
      <c r="AB161" s="1778"/>
      <c r="AC161" s="1778"/>
      <c r="AD161" s="1778"/>
      <c r="AE161" s="1778"/>
      <c r="AF161" s="1778"/>
      <c r="AG161" s="1778"/>
      <c r="AH161" s="1778"/>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797" t="s">
        <v>2624</v>
      </c>
      <c r="E164" s="1797"/>
      <c r="F164" s="1797"/>
      <c r="G164" s="1797"/>
      <c r="H164" s="1797"/>
      <c r="I164" s="1797"/>
      <c r="J164" s="1797"/>
      <c r="K164" s="1797"/>
      <c r="L164" s="1797"/>
      <c r="M164" s="1797"/>
      <c r="N164" s="1797"/>
      <c r="O164" s="1797"/>
      <c r="P164" s="1797"/>
      <c r="Q164" s="1797"/>
      <c r="R164" s="1797"/>
      <c r="S164" s="1797"/>
      <c r="T164" s="1797"/>
      <c r="U164" s="1797"/>
      <c r="V164" s="1797"/>
      <c r="W164" s="1797"/>
      <c r="X164" s="1797"/>
      <c r="Y164" s="1797"/>
      <c r="Z164" s="1797"/>
      <c r="AA164" s="1797"/>
      <c r="AB164" s="1797"/>
      <c r="AC164" s="1797"/>
      <c r="AD164" s="1797"/>
      <c r="AE164" s="1797"/>
      <c r="AF164" s="1797"/>
      <c r="AG164" s="1797"/>
      <c r="AH164" s="1797"/>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443" t="s">
        <v>548</v>
      </c>
      <c r="B169" s="1443"/>
      <c r="C169" s="1443"/>
      <c r="D169" s="1443"/>
      <c r="E169" s="1443"/>
      <c r="F169" s="1443"/>
      <c r="G169" s="1443"/>
      <c r="H169" s="1443"/>
      <c r="I169" s="1443"/>
      <c r="J169" s="1443"/>
      <c r="K169" s="1443"/>
      <c r="L169" s="1443"/>
      <c r="M169" s="1443"/>
      <c r="N169" s="1443"/>
      <c r="O169" s="1443"/>
      <c r="P169" s="1443"/>
      <c r="Q169" s="1443"/>
      <c r="R169" s="1443"/>
      <c r="S169" s="1443"/>
      <c r="T169" s="1443"/>
      <c r="U169" s="1443"/>
      <c r="V169" s="1443"/>
      <c r="W169" s="1443"/>
      <c r="X169" s="1443"/>
      <c r="Y169" s="1443"/>
      <c r="Z169" s="1443"/>
      <c r="AA169" s="1443"/>
      <c r="AB169" s="1443"/>
      <c r="AC169" s="1443"/>
      <c r="AD169" s="1443"/>
      <c r="AE169" s="1443"/>
      <c r="AF169" s="1443"/>
      <c r="AG169" s="1443"/>
      <c r="AH169" s="1443"/>
      <c r="AI169" s="1443"/>
      <c r="AJ169" s="1443"/>
      <c r="AK169" s="1443"/>
      <c r="AL169" s="1443"/>
      <c r="AM169" s="1443"/>
      <c r="AN169" s="1443"/>
      <c r="AO169" s="1443"/>
      <c r="AP169" s="1443"/>
      <c r="AQ169" s="1443"/>
      <c r="AR169" s="1443"/>
      <c r="AS169" s="1443"/>
      <c r="AT169" s="1443"/>
      <c r="AU169" s="95"/>
      <c r="AV169" s="95"/>
      <c r="AW169" s="95"/>
      <c r="AX169" s="95"/>
      <c r="AY169" s="95"/>
      <c r="BN169" s="23" t="s">
        <v>682</v>
      </c>
      <c r="BT169" t="s">
        <v>497</v>
      </c>
    </row>
    <row r="170" spans="1:72" ht="13" customHeight="1">
      <c r="A170" s="1443"/>
      <c r="B170" s="1443"/>
      <c r="C170" s="1443"/>
      <c r="D170" s="1443"/>
      <c r="E170" s="1443"/>
      <c r="F170" s="1443"/>
      <c r="G170" s="1443"/>
      <c r="H170" s="1443"/>
      <c r="I170" s="1443"/>
      <c r="J170" s="1443"/>
      <c r="K170" s="1443"/>
      <c r="L170" s="1443"/>
      <c r="M170" s="1443"/>
      <c r="N170" s="1443"/>
      <c r="O170" s="1443"/>
      <c r="P170" s="1443"/>
      <c r="Q170" s="1443"/>
      <c r="R170" s="1443"/>
      <c r="S170" s="1443"/>
      <c r="T170" s="1443"/>
      <c r="U170" s="1443"/>
      <c r="V170" s="1443"/>
      <c r="W170" s="1443"/>
      <c r="X170" s="1443"/>
      <c r="Y170" s="1443"/>
      <c r="Z170" s="1443"/>
      <c r="AA170" s="1443"/>
      <c r="AB170" s="1443"/>
      <c r="AC170" s="1443"/>
      <c r="AD170" s="1443"/>
      <c r="AE170" s="1443"/>
      <c r="AF170" s="1443"/>
      <c r="AG170" s="1443"/>
      <c r="AH170" s="1443"/>
      <c r="AI170" s="1443"/>
      <c r="AJ170" s="1443"/>
      <c r="AK170" s="1443"/>
      <c r="AL170" s="1443"/>
      <c r="AM170" s="1443"/>
      <c r="AN170" s="1443"/>
      <c r="AO170" s="1443"/>
      <c r="AP170" s="1443"/>
      <c r="AQ170" s="1443"/>
      <c r="AR170" s="1443"/>
      <c r="AS170" s="1443"/>
      <c r="AT170" s="1443"/>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783" t="s">
        <v>372</v>
      </c>
      <c r="K173" s="1783"/>
      <c r="L173" s="1783"/>
      <c r="M173" s="1783"/>
      <c r="N173" s="1783"/>
      <c r="O173" s="1783"/>
      <c r="P173" s="1783"/>
      <c r="Q173" s="1783"/>
      <c r="R173" s="1783"/>
      <c r="S173" s="1783"/>
      <c r="U173" s="25"/>
      <c r="X173" s="25"/>
      <c r="BB173" s="3" t="s">
        <v>308</v>
      </c>
      <c r="BN173" s="23" t="s">
        <v>215</v>
      </c>
      <c r="BT173" t="s">
        <v>501</v>
      </c>
    </row>
    <row r="174" spans="1:72" ht="13" customHeight="1">
      <c r="C174" s="24"/>
      <c r="D174" s="3" t="s">
        <v>1309</v>
      </c>
      <c r="J174" s="1421" t="s">
        <v>2421</v>
      </c>
      <c r="K174" s="1421"/>
      <c r="L174" s="1421"/>
      <c r="M174" s="1421"/>
      <c r="N174" s="1421"/>
      <c r="O174" s="1421"/>
      <c r="P174" s="1421"/>
      <c r="Q174" s="1421"/>
      <c r="R174" s="1421"/>
      <c r="S174" s="1421"/>
      <c r="T174" s="1421"/>
      <c r="U174" s="1421"/>
      <c r="V174" s="1421"/>
      <c r="W174" s="1421"/>
      <c r="X174" s="1421"/>
      <c r="Y174" s="1421"/>
      <c r="Z174" s="1421"/>
      <c r="AA174" s="1421"/>
      <c r="AB174" s="1421"/>
      <c r="BB174" t="s">
        <v>2274</v>
      </c>
      <c r="BN174" s="23" t="s">
        <v>217</v>
      </c>
      <c r="BT174" t="s">
        <v>502</v>
      </c>
    </row>
    <row r="175" spans="1:72" ht="13" customHeight="1">
      <c r="C175" s="8"/>
      <c r="D175" s="3" t="s">
        <v>323</v>
      </c>
      <c r="O175" s="27"/>
      <c r="U175" s="1429" t="s">
        <v>678</v>
      </c>
      <c r="V175" s="1429"/>
      <c r="BB175" t="s">
        <v>2238</v>
      </c>
      <c r="BN175" s="23" t="s">
        <v>218</v>
      </c>
      <c r="BT175" t="s">
        <v>503</v>
      </c>
    </row>
    <row r="176" spans="1:72" ht="13" customHeight="1">
      <c r="C176" s="8"/>
      <c r="D176" s="26"/>
      <c r="E176" t="s">
        <v>305</v>
      </c>
      <c r="O176" s="27"/>
      <c r="P176" t="s">
        <v>2396</v>
      </c>
      <c r="T176" s="27" t="s">
        <v>306</v>
      </c>
      <c r="U176" s="1435"/>
      <c r="V176" s="1435"/>
      <c r="W176" s="1" t="s">
        <v>307</v>
      </c>
      <c r="X176" s="1808"/>
      <c r="Y176" s="1808"/>
      <c r="BB176" t="s">
        <v>2275</v>
      </c>
      <c r="BN176" s="23" t="s">
        <v>220</v>
      </c>
      <c r="BT176" t="s">
        <v>504</v>
      </c>
    </row>
    <row r="177" spans="1:72" ht="13" customHeight="1">
      <c r="C177" s="24"/>
      <c r="D177" t="s">
        <v>250</v>
      </c>
      <c r="R177" s="1429" t="s">
        <v>678</v>
      </c>
      <c r="S177" s="1429"/>
      <c r="BB177" t="s">
        <v>2578</v>
      </c>
      <c r="BN177" s="23" t="s">
        <v>221</v>
      </c>
      <c r="BT177" t="s">
        <v>505</v>
      </c>
    </row>
    <row r="178" spans="1:72" ht="13" customHeight="1">
      <c r="C178" s="24"/>
      <c r="D178" s="3" t="s">
        <v>1310</v>
      </c>
      <c r="AA178" t="s">
        <v>2396</v>
      </c>
      <c r="AE178" s="27" t="s">
        <v>306</v>
      </c>
      <c r="AF178" s="1454"/>
      <c r="AG178" s="1454"/>
      <c r="AH178" s="1" t="s">
        <v>307</v>
      </c>
      <c r="AI178" s="1698"/>
      <c r="AJ178" s="1698"/>
      <c r="AK178" s="1698"/>
      <c r="BB178" t="s">
        <v>2579</v>
      </c>
      <c r="BN178" s="23" t="s">
        <v>222</v>
      </c>
      <c r="BT178" t="s">
        <v>53</v>
      </c>
    </row>
    <row r="179" spans="1:72" ht="13" customHeight="1">
      <c r="C179" s="24"/>
      <c r="BN179" s="23" t="s">
        <v>223</v>
      </c>
      <c r="BT179" t="s">
        <v>54</v>
      </c>
    </row>
    <row r="180" spans="1:72" ht="13" customHeight="1">
      <c r="C180" s="24"/>
      <c r="D180" t="s">
        <v>2397</v>
      </c>
      <c r="X180" s="1429" t="s">
        <v>678</v>
      </c>
      <c r="Y180" s="1429"/>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420" t="str">
        <f>H18</f>
        <v>712 Seagaze</v>
      </c>
      <c r="J184" s="1420"/>
      <c r="K184" s="1420"/>
      <c r="L184" s="1420"/>
      <c r="M184" s="1420"/>
      <c r="N184" s="1420"/>
      <c r="O184" s="1420"/>
      <c r="P184" s="1420"/>
      <c r="Q184" s="1420"/>
      <c r="R184" s="1420"/>
      <c r="S184" s="1420"/>
      <c r="T184" s="1420"/>
      <c r="U184" s="1420"/>
      <c r="V184" s="1420"/>
      <c r="W184" s="1420"/>
      <c r="X184" s="1420"/>
      <c r="Y184" s="1420"/>
      <c r="Z184" s="1420"/>
      <c r="AA184" s="1420"/>
      <c r="AB184" s="1420"/>
      <c r="AC184" s="1420"/>
      <c r="AD184" s="1420"/>
      <c r="AE184" s="1420"/>
      <c r="BC184" t="s">
        <v>596</v>
      </c>
      <c r="BN184" s="23" t="s">
        <v>231</v>
      </c>
      <c r="BT184" t="s">
        <v>62</v>
      </c>
    </row>
    <row r="185" spans="1:72" ht="13" customHeight="1">
      <c r="C185" s="21"/>
      <c r="D185" t="s">
        <v>588</v>
      </c>
      <c r="I185" s="1563" t="s">
        <v>2648</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3" customHeight="1">
      <c r="C186" s="21"/>
      <c r="E186" t="s">
        <v>168</v>
      </c>
      <c r="BN186" s="23" t="s">
        <v>233</v>
      </c>
      <c r="BT186" t="s">
        <v>64</v>
      </c>
    </row>
    <row r="187" spans="1:72" ht="13" customHeight="1">
      <c r="C187" s="21"/>
      <c r="E187" s="1799"/>
      <c r="F187" s="1799"/>
      <c r="G187" s="1799"/>
      <c r="H187" s="1799"/>
      <c r="I187" s="1799"/>
      <c r="J187" s="1799"/>
      <c r="K187" s="1799"/>
      <c r="L187" s="1799"/>
      <c r="M187" s="1799"/>
      <c r="N187" s="1799"/>
      <c r="O187" s="1799"/>
      <c r="P187" s="1799"/>
      <c r="Q187" s="1799"/>
      <c r="R187" s="1799"/>
      <c r="S187" s="1799"/>
      <c r="T187" s="1799"/>
      <c r="U187" s="1799"/>
      <c r="V187" s="1799"/>
      <c r="W187" s="1799"/>
      <c r="X187" s="1799"/>
      <c r="Y187" s="1799"/>
      <c r="Z187" s="1799"/>
      <c r="AA187" s="1799"/>
      <c r="AB187" s="1799"/>
      <c r="AC187" s="1799"/>
      <c r="AD187" s="1799"/>
      <c r="AE187" s="1799"/>
      <c r="BN187" s="23" t="s">
        <v>234</v>
      </c>
      <c r="BT187" t="s">
        <v>65</v>
      </c>
    </row>
    <row r="188" spans="1:72" ht="13" customHeight="1">
      <c r="C188" s="21"/>
      <c r="E188" s="1800"/>
      <c r="F188" s="1800"/>
      <c r="G188" s="1800"/>
      <c r="H188" s="1800"/>
      <c r="I188" s="1800"/>
      <c r="J188" s="1800"/>
      <c r="K188" s="1800"/>
      <c r="L188" s="1800"/>
      <c r="M188" s="1800"/>
      <c r="N188" s="1800"/>
      <c r="O188" s="1800"/>
      <c r="P188" s="1800"/>
      <c r="Q188" s="1800"/>
      <c r="R188" s="1800"/>
      <c r="S188" s="1800"/>
      <c r="T188" s="1800"/>
      <c r="U188" s="1800"/>
      <c r="V188" s="1800"/>
      <c r="W188" s="1800"/>
      <c r="X188" s="1800"/>
      <c r="Y188" s="1800"/>
      <c r="Z188" s="1800"/>
      <c r="AA188" s="1800"/>
      <c r="AB188" s="1800"/>
      <c r="AC188" s="1800"/>
      <c r="AD188" s="1800"/>
      <c r="AE188" s="1800"/>
      <c r="BN188" s="23" t="s">
        <v>236</v>
      </c>
      <c r="BT188" t="s">
        <v>66</v>
      </c>
    </row>
    <row r="189" spans="1:72" ht="13" customHeight="1">
      <c r="C189" s="21"/>
      <c r="D189" t="s">
        <v>589</v>
      </c>
      <c r="I189" s="1416" t="s">
        <v>2647</v>
      </c>
      <c r="J189" s="1421"/>
      <c r="K189" s="1421"/>
      <c r="L189" s="1421"/>
      <c r="M189" s="1421"/>
      <c r="N189" s="1421"/>
      <c r="O189" s="1421"/>
      <c r="P189" s="1421"/>
      <c r="Q189" t="s">
        <v>591</v>
      </c>
      <c r="T189" s="1421" t="s">
        <v>739</v>
      </c>
      <c r="U189" s="1421"/>
      <c r="V189" s="1421"/>
      <c r="W189" s="1421"/>
      <c r="X189" s="1421"/>
      <c r="Y189" s="1421"/>
      <c r="Z189" s="1421"/>
      <c r="AA189" s="1421"/>
      <c r="AB189" s="1421"/>
      <c r="AC189" s="1421"/>
      <c r="AD189" s="1421"/>
      <c r="AE189" s="1421"/>
      <c r="BC189" t="s">
        <v>308</v>
      </c>
      <c r="BH189" s="3" t="s">
        <v>600</v>
      </c>
      <c r="BN189" s="23" t="s">
        <v>237</v>
      </c>
      <c r="BT189" t="s">
        <v>67</v>
      </c>
    </row>
    <row r="190" spans="1:72" ht="13" customHeight="1">
      <c r="C190" s="21"/>
      <c r="D190" t="s">
        <v>592</v>
      </c>
      <c r="I190" s="1433">
        <v>92054</v>
      </c>
      <c r="J190" s="1433"/>
      <c r="K190" s="1433"/>
      <c r="L190" s="1433"/>
      <c r="M190" s="1433"/>
      <c r="N190" s="1433"/>
      <c r="O190" t="s">
        <v>594</v>
      </c>
      <c r="T190" s="1812">
        <v>6073018400</v>
      </c>
      <c r="U190" s="1812"/>
      <c r="V190" s="1812"/>
      <c r="W190" s="1812"/>
      <c r="X190" s="1812"/>
      <c r="Y190" s="1812"/>
      <c r="Z190" s="1812"/>
      <c r="AA190" s="1812"/>
      <c r="AB190" s="1812"/>
      <c r="AC190" s="1812"/>
      <c r="AD190" s="1812"/>
      <c r="AE190" s="1812"/>
      <c r="BC190" t="s">
        <v>1066</v>
      </c>
      <c r="BH190" t="s">
        <v>1066</v>
      </c>
      <c r="BN190" s="23" t="s">
        <v>644</v>
      </c>
      <c r="BT190" t="s">
        <v>68</v>
      </c>
    </row>
    <row r="191" spans="1:72" ht="13" customHeight="1">
      <c r="C191" s="21"/>
      <c r="D191" t="s">
        <v>471</v>
      </c>
      <c r="N191" s="1814" t="s">
        <v>2649</v>
      </c>
      <c r="O191" s="1799"/>
      <c r="P191" s="1799"/>
      <c r="Q191" s="1799"/>
      <c r="R191" s="1799"/>
      <c r="S191" s="1799"/>
      <c r="T191" s="1799"/>
      <c r="U191" s="1799"/>
      <c r="V191" s="1799"/>
      <c r="W191" s="1799"/>
      <c r="X191" s="1799"/>
      <c r="Y191" s="1799"/>
      <c r="Z191" s="1799"/>
      <c r="AA191" s="1799"/>
      <c r="AB191" s="1799"/>
      <c r="AC191" s="1799"/>
      <c r="AD191" s="1799"/>
      <c r="AE191" s="1799"/>
      <c r="BC191" t="s">
        <v>1065</v>
      </c>
      <c r="BH191" t="s">
        <v>1065</v>
      </c>
      <c r="BN191" s="23" t="s">
        <v>698</v>
      </c>
      <c r="BT191" t="s">
        <v>737</v>
      </c>
    </row>
    <row r="192" spans="1:72" ht="13" customHeight="1">
      <c r="C192" s="21"/>
      <c r="M192" s="40"/>
      <c r="N192" s="1800"/>
      <c r="O192" s="1800"/>
      <c r="P192" s="1800"/>
      <c r="Q192" s="1800"/>
      <c r="R192" s="1800"/>
      <c r="S192" s="1800"/>
      <c r="T192" s="1800"/>
      <c r="U192" s="1800"/>
      <c r="V192" s="1800"/>
      <c r="W192" s="1800"/>
      <c r="X192" s="1800"/>
      <c r="Y192" s="1800"/>
      <c r="Z192" s="1800"/>
      <c r="AA192" s="1800"/>
      <c r="AB192" s="1800"/>
      <c r="AC192" s="1800"/>
      <c r="AD192" s="1800"/>
      <c r="AE192" s="1800"/>
      <c r="BC192" t="s">
        <v>1068</v>
      </c>
      <c r="BH192" s="3" t="s">
        <v>1475</v>
      </c>
      <c r="BN192" s="23" t="s">
        <v>699</v>
      </c>
      <c r="BT192" t="s">
        <v>738</v>
      </c>
    </row>
    <row r="193" spans="1:74" ht="13" customHeight="1">
      <c r="C193" s="21"/>
      <c r="D193" t="s">
        <v>2398</v>
      </c>
      <c r="M193" s="40"/>
      <c r="N193" s="928"/>
      <c r="O193" s="928"/>
      <c r="P193" s="928"/>
      <c r="Q193" s="928"/>
      <c r="R193" s="928"/>
      <c r="S193" s="928"/>
      <c r="T193" s="1805" t="s">
        <v>2578</v>
      </c>
      <c r="U193" s="1805"/>
      <c r="V193" s="1805"/>
      <c r="W193" s="1805"/>
      <c r="X193" s="1805"/>
      <c r="Y193" s="1805"/>
      <c r="Z193" s="1805"/>
      <c r="AA193" s="1805"/>
      <c r="AB193" s="1805"/>
      <c r="AC193" s="1805"/>
      <c r="AD193" s="1805"/>
      <c r="AE193" s="1805"/>
      <c r="AF193" s="1805"/>
      <c r="AG193" s="1805"/>
      <c r="AH193" s="1805"/>
      <c r="AI193" s="1805"/>
      <c r="BC193" t="s">
        <v>1067</v>
      </c>
      <c r="BH193" s="3" t="s">
        <v>1742</v>
      </c>
      <c r="BN193" s="23" t="s">
        <v>700</v>
      </c>
      <c r="BT193" t="s">
        <v>739</v>
      </c>
    </row>
    <row r="194" spans="1:74" ht="13" customHeight="1">
      <c r="C194" s="21"/>
      <c r="D194" s="3" t="s">
        <v>2580</v>
      </c>
      <c r="M194" s="40"/>
      <c r="N194" s="928"/>
      <c r="O194" s="928"/>
      <c r="P194" s="928"/>
      <c r="Q194" s="928"/>
      <c r="R194" s="928"/>
      <c r="S194" s="928"/>
      <c r="AH194" s="1429" t="s">
        <v>678</v>
      </c>
      <c r="AI194" s="1429"/>
      <c r="BC194" t="s">
        <v>1475</v>
      </c>
      <c r="BN194" s="23" t="s">
        <v>701</v>
      </c>
      <c r="BT194" t="s">
        <v>740</v>
      </c>
    </row>
    <row r="195" spans="1:74" ht="13" customHeight="1">
      <c r="C195" s="21"/>
      <c r="D195" t="s">
        <v>332</v>
      </c>
      <c r="T195" s="1429" t="s">
        <v>678</v>
      </c>
      <c r="U195" s="1429"/>
      <c r="W195" t="s">
        <v>694</v>
      </c>
      <c r="AH195" s="1429">
        <v>49</v>
      </c>
      <c r="AI195" s="1429"/>
      <c r="BC195" t="s">
        <v>2048</v>
      </c>
      <c r="BN195" s="23" t="s">
        <v>243</v>
      </c>
      <c r="BT195" t="s">
        <v>741</v>
      </c>
    </row>
    <row r="196" spans="1:74" ht="13" customHeight="1">
      <c r="C196" s="21"/>
      <c r="D196" t="s">
        <v>387</v>
      </c>
      <c r="T196" s="1396" t="s">
        <v>554</v>
      </c>
      <c r="U196" s="1396"/>
      <c r="W196" t="s">
        <v>695</v>
      </c>
      <c r="AH196" s="1429">
        <v>74</v>
      </c>
      <c r="AI196" s="1429"/>
      <c r="BN196" s="23" t="s">
        <v>244</v>
      </c>
      <c r="BT196" t="s">
        <v>69</v>
      </c>
    </row>
    <row r="197" spans="1:74" ht="13" customHeight="1">
      <c r="C197" s="21"/>
      <c r="D197" s="3" t="s">
        <v>169</v>
      </c>
      <c r="T197" s="1396" t="s">
        <v>678</v>
      </c>
      <c r="U197" s="1396"/>
      <c r="W197" t="s">
        <v>696</v>
      </c>
      <c r="AH197" s="1429">
        <v>38</v>
      </c>
      <c r="AI197" s="1429"/>
      <c r="BC197" t="s">
        <v>308</v>
      </c>
      <c r="BN197" s="23" t="s">
        <v>245</v>
      </c>
      <c r="BT197" t="s">
        <v>70</v>
      </c>
    </row>
    <row r="198" spans="1:74" s="14" customFormat="1" ht="13" customHeight="1">
      <c r="A198"/>
      <c r="B198"/>
      <c r="C198" s="21"/>
      <c r="D198" s="3" t="s">
        <v>1765</v>
      </c>
      <c r="E198"/>
      <c r="F198"/>
      <c r="G198"/>
      <c r="H198"/>
      <c r="I198"/>
      <c r="J198"/>
      <c r="K198"/>
      <c r="L198"/>
      <c r="M198"/>
      <c r="N198"/>
      <c r="O198"/>
      <c r="P198"/>
      <c r="Q198"/>
      <c r="R198"/>
      <c r="S198"/>
      <c r="T198" s="1396"/>
      <c r="U198" s="139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2530</v>
      </c>
      <c r="E199"/>
      <c r="F199"/>
      <c r="G199"/>
      <c r="H199"/>
      <c r="I199"/>
      <c r="J199"/>
      <c r="K199"/>
      <c r="L199"/>
      <c r="M199"/>
      <c r="N199"/>
      <c r="O199"/>
      <c r="P199"/>
      <c r="Q199"/>
      <c r="R199"/>
      <c r="S199"/>
      <c r="T199"/>
      <c r="U199"/>
      <c r="V199"/>
      <c r="W199"/>
      <c r="Z199" s="1429" t="s">
        <v>678</v>
      </c>
      <c r="AA199" s="142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420" t="s">
        <v>386</v>
      </c>
      <c r="E204" s="1420"/>
      <c r="F204" s="1420"/>
      <c r="G204" s="1420"/>
      <c r="H204" s="1420"/>
      <c r="I204" s="1420"/>
      <c r="J204" s="1420"/>
      <c r="K204" s="1420"/>
      <c r="L204" s="1420"/>
      <c r="M204" s="1420"/>
      <c r="P204" s="1798">
        <f>M26</f>
        <v>4199366</v>
      </c>
      <c r="Q204" s="1793"/>
      <c r="R204" s="1793"/>
      <c r="S204" s="1793"/>
      <c r="T204" s="1793"/>
      <c r="U204" s="1793"/>
      <c r="Z204" s="1791" t="s">
        <v>1291</v>
      </c>
      <c r="AA204" s="1791"/>
      <c r="AB204" s="1791"/>
      <c r="AC204" s="1791"/>
      <c r="AD204" s="1791"/>
      <c r="AE204" s="1791"/>
      <c r="AF204" s="1791"/>
      <c r="BC204" t="s">
        <v>619</v>
      </c>
      <c r="BN204" s="23" t="s">
        <v>713</v>
      </c>
      <c r="BT204" s="32" t="s">
        <v>198</v>
      </c>
      <c r="BU204" s="14"/>
    </row>
    <row r="205" spans="1:74" ht="13" customHeight="1">
      <c r="C205" s="21"/>
      <c r="D205" s="1790" t="s">
        <v>1356</v>
      </c>
      <c r="E205" s="1420"/>
      <c r="F205" s="1420"/>
      <c r="G205" s="1420"/>
      <c r="H205" s="1420"/>
      <c r="I205" s="1420"/>
      <c r="J205" s="1420"/>
      <c r="K205" s="1420"/>
      <c r="L205" s="1420"/>
      <c r="M205" s="1420"/>
      <c r="P205" s="1793">
        <f>M27</f>
        <v>0</v>
      </c>
      <c r="Q205" s="1793"/>
      <c r="R205" s="1793"/>
      <c r="S205" s="1793"/>
      <c r="T205" s="1793"/>
      <c r="U205" s="1793"/>
      <c r="V205" s="28"/>
      <c r="W205" s="3" t="s">
        <v>1910</v>
      </c>
      <c r="Z205" s="1791"/>
      <c r="AA205" s="1791"/>
      <c r="AB205" s="1791"/>
      <c r="AC205" s="1791"/>
      <c r="AD205" s="1791"/>
      <c r="AE205" s="1791"/>
      <c r="AF205" s="1791"/>
      <c r="AG205" t="s">
        <v>1357</v>
      </c>
      <c r="AP205" s="1429" t="s">
        <v>678</v>
      </c>
      <c r="AQ205" s="1429"/>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Z206" s="1792"/>
      <c r="AA206" s="1792"/>
      <c r="AB206" s="1792"/>
      <c r="AC206" s="1792"/>
      <c r="AD206" s="1792"/>
      <c r="AE206" s="1792"/>
      <c r="AF206" s="1792"/>
      <c r="BC206" s="470" t="s">
        <v>1094</v>
      </c>
      <c r="BN206" s="23" t="s">
        <v>110</v>
      </c>
      <c r="BT206" s="32" t="s">
        <v>199</v>
      </c>
      <c r="BU206" s="14"/>
    </row>
    <row r="207" spans="1:74" ht="13" customHeight="1">
      <c r="A207" s="2" t="s">
        <v>598</v>
      </c>
      <c r="C207" s="2" t="s">
        <v>560</v>
      </c>
      <c r="BC207" s="3" t="s">
        <v>2570</v>
      </c>
      <c r="BN207" s="23" t="s">
        <v>45</v>
      </c>
      <c r="BT207" s="32" t="s">
        <v>200</v>
      </c>
    </row>
    <row r="208" spans="1:74" ht="13" customHeight="1">
      <c r="C208" s="21"/>
      <c r="D208" s="1417" t="s">
        <v>2650</v>
      </c>
      <c r="E208" s="1417"/>
      <c r="F208" s="1417"/>
      <c r="G208" s="1417"/>
      <c r="H208" s="1417"/>
      <c r="I208" s="1417"/>
      <c r="J208" s="1417"/>
      <c r="K208" s="1417"/>
      <c r="L208" s="1417"/>
      <c r="M208" s="1417"/>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17" t="s">
        <v>2048</v>
      </c>
      <c r="E211" s="1417"/>
      <c r="F211" s="1417"/>
      <c r="G211" s="1417"/>
      <c r="H211" s="1417"/>
      <c r="I211" s="1417"/>
      <c r="J211" s="1417"/>
      <c r="K211" s="1417"/>
      <c r="L211" s="1417"/>
      <c r="M211" s="1417"/>
      <c r="BN211" s="23" t="s">
        <v>129</v>
      </c>
      <c r="BT211" s="32" t="s">
        <v>130</v>
      </c>
    </row>
    <row r="212" spans="1:72" ht="13" customHeight="1">
      <c r="C212" s="21"/>
      <c r="D212" t="s">
        <v>1353</v>
      </c>
      <c r="Y212" s="1429"/>
      <c r="Z212" s="1429"/>
      <c r="AB212" s="1803">
        <f>IFERROR(Y212/AG440,"")</f>
        <v>0</v>
      </c>
      <c r="AC212" s="1804"/>
      <c r="BC212" t="s">
        <v>308</v>
      </c>
      <c r="BI212" t="s">
        <v>1291</v>
      </c>
      <c r="BN212" s="23" t="s">
        <v>49</v>
      </c>
      <c r="BT212" s="32" t="s">
        <v>204</v>
      </c>
    </row>
    <row r="213" spans="1:72" ht="13" customHeight="1">
      <c r="D213" s="1189" t="s">
        <v>1741</v>
      </c>
      <c r="BC213" t="s">
        <v>535</v>
      </c>
      <c r="BI213" t="s">
        <v>2628</v>
      </c>
      <c r="BN213" s="23" t="s">
        <v>50</v>
      </c>
      <c r="BT213" s="32" t="s">
        <v>205</v>
      </c>
    </row>
    <row r="214" spans="1:72" ht="13" customHeight="1">
      <c r="D214" s="1811" t="s">
        <v>600</v>
      </c>
      <c r="E214" s="1811"/>
      <c r="F214" s="1811"/>
      <c r="G214" s="1811"/>
      <c r="H214" s="1811"/>
      <c r="I214" s="1811"/>
      <c r="J214" s="1811"/>
      <c r="K214" s="1811"/>
      <c r="L214" s="1811"/>
      <c r="M214" s="1811"/>
      <c r="N214" s="1811"/>
      <c r="O214" s="1811"/>
      <c r="P214" s="1811"/>
      <c r="Q214" s="1811"/>
      <c r="R214" s="1811"/>
      <c r="S214" s="1811"/>
      <c r="T214" s="1811"/>
      <c r="U214" s="1811"/>
      <c r="V214" s="1811"/>
      <c r="W214" s="1811"/>
      <c r="X214" s="1811"/>
      <c r="Y214" s="1811"/>
      <c r="Z214" s="1811"/>
      <c r="AU214" s="21"/>
      <c r="AV214" s="21"/>
      <c r="AW214" s="21"/>
      <c r="AX214" s="21"/>
      <c r="AY214" s="21"/>
      <c r="BC214" t="s">
        <v>539</v>
      </c>
      <c r="BI214" t="s">
        <v>2634</v>
      </c>
      <c r="BN214" s="23" t="s">
        <v>327</v>
      </c>
      <c r="BT214" s="32" t="s">
        <v>206</v>
      </c>
    </row>
    <row r="215" spans="1:72" ht="13" customHeight="1">
      <c r="D215" s="3" t="s">
        <v>1766</v>
      </c>
      <c r="Z215" s="40"/>
      <c r="AB215" s="1810"/>
      <c r="AC215" s="1810"/>
      <c r="AD215" s="1810"/>
      <c r="AE215" s="1810"/>
      <c r="AF215" s="1810"/>
      <c r="AG215" s="1810"/>
      <c r="AH215" s="1810"/>
      <c r="AI215" s="1810"/>
      <c r="AJ215" s="1810"/>
      <c r="AK215" s="1810"/>
      <c r="AL215" s="1810"/>
      <c r="AM215" s="21"/>
      <c r="AN215" s="21"/>
      <c r="AO215" s="21"/>
      <c r="AP215" s="21"/>
      <c r="AQ215" s="21"/>
      <c r="AR215" s="21"/>
      <c r="AS215" s="21"/>
      <c r="AT215" s="21"/>
      <c r="AU215" s="21"/>
      <c r="AV215" s="21"/>
      <c r="AW215" s="21"/>
      <c r="AX215" s="21"/>
      <c r="AY215" s="21"/>
      <c r="BC215" t="s">
        <v>536</v>
      </c>
      <c r="BI215" t="s">
        <v>2629</v>
      </c>
    </row>
    <row r="216" spans="1:72" ht="13" customHeight="1">
      <c r="D216" s="3" t="s">
        <v>1764</v>
      </c>
      <c r="Z216" s="40"/>
      <c r="AB216" s="1810"/>
      <c r="AC216" s="1810"/>
      <c r="AD216" s="1810"/>
      <c r="AE216" s="1810"/>
      <c r="AF216" s="1810"/>
      <c r="AG216" s="1810"/>
      <c r="AH216" s="1810"/>
      <c r="AI216" s="1810"/>
      <c r="AJ216" s="1810"/>
      <c r="AK216" s="1810"/>
      <c r="AL216" s="1810"/>
      <c r="AM216" s="21"/>
      <c r="AN216" s="21"/>
      <c r="AO216" s="21"/>
      <c r="AP216" s="21"/>
      <c r="AQ216" s="21"/>
      <c r="AR216" s="21"/>
      <c r="AS216" s="21"/>
      <c r="AT216" s="21"/>
      <c r="AU216" s="21"/>
      <c r="AV216" s="21"/>
      <c r="AW216" s="21"/>
      <c r="AX216" s="21"/>
      <c r="AY216" s="21"/>
      <c r="BC216" t="s">
        <v>575</v>
      </c>
      <c r="BI216" t="s">
        <v>2630</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17" t="s">
        <v>620</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BA220" s="3"/>
      <c r="BC220" t="s">
        <v>301</v>
      </c>
    </row>
    <row r="221" spans="1:72" ht="13" customHeight="1">
      <c r="A221" s="2"/>
      <c r="B221" s="14"/>
      <c r="C221" s="2"/>
      <c r="AU221" s="95"/>
      <c r="AV221" s="95"/>
      <c r="AW221" s="95"/>
      <c r="AX221" s="95"/>
      <c r="AY221" s="95"/>
      <c r="BA221" s="3"/>
    </row>
    <row r="222" spans="1:72" ht="13" customHeight="1">
      <c r="A222" s="1443" t="s">
        <v>549</v>
      </c>
      <c r="B222" s="1443"/>
      <c r="C222" s="1443"/>
      <c r="D222" s="1443"/>
      <c r="E222" s="1443"/>
      <c r="F222" s="1443"/>
      <c r="G222" s="1443"/>
      <c r="H222" s="1443"/>
      <c r="I222" s="1443"/>
      <c r="J222" s="1443"/>
      <c r="K222" s="1443"/>
      <c r="L222" s="1443"/>
      <c r="M222" s="1443"/>
      <c r="N222" s="1443"/>
      <c r="O222" s="1443"/>
      <c r="P222" s="1443"/>
      <c r="Q222" s="1443"/>
      <c r="R222" s="1443"/>
      <c r="S222" s="1443"/>
      <c r="T222" s="1443"/>
      <c r="U222" s="1443"/>
      <c r="V222" s="1443"/>
      <c r="W222" s="1443"/>
      <c r="X222" s="1443"/>
      <c r="Y222" s="1443"/>
      <c r="Z222" s="1443"/>
      <c r="AA222" s="1443"/>
      <c r="AB222" s="1443"/>
      <c r="AC222" s="1443"/>
      <c r="AD222" s="1443"/>
      <c r="AE222" s="1443"/>
      <c r="AF222" s="1443"/>
      <c r="AG222" s="1443"/>
      <c r="AH222" s="1443"/>
      <c r="AI222" s="1443"/>
      <c r="AJ222" s="1443"/>
      <c r="AK222" s="1443"/>
      <c r="AL222" s="1443"/>
      <c r="AM222" s="1443"/>
      <c r="AN222" s="1443"/>
      <c r="AO222" s="1443"/>
      <c r="AP222" s="1443"/>
      <c r="AQ222" s="1443"/>
      <c r="AR222" s="1443"/>
      <c r="AS222" s="1443"/>
      <c r="AT222" s="1443"/>
      <c r="AU222" s="95"/>
      <c r="AV222" s="95"/>
      <c r="AW222" s="95"/>
      <c r="AX222" s="95"/>
      <c r="AY222" s="95"/>
      <c r="AZ222" s="3"/>
      <c r="BA222" s="3"/>
      <c r="BP222" s="34"/>
    </row>
    <row r="223" spans="1:72" ht="13" customHeight="1">
      <c r="A223" s="1443"/>
      <c r="B223" s="1443"/>
      <c r="C223" s="1443"/>
      <c r="D223" s="1443"/>
      <c r="E223" s="1443"/>
      <c r="F223" s="1443"/>
      <c r="G223" s="1443"/>
      <c r="H223" s="1443"/>
      <c r="I223" s="1443"/>
      <c r="J223" s="1443"/>
      <c r="K223" s="1443"/>
      <c r="L223" s="1443"/>
      <c r="M223" s="1443"/>
      <c r="N223" s="1443"/>
      <c r="O223" s="1443"/>
      <c r="P223" s="1443"/>
      <c r="Q223" s="1443"/>
      <c r="R223" s="1443"/>
      <c r="S223" s="1443"/>
      <c r="T223" s="1443"/>
      <c r="U223" s="1443"/>
      <c r="V223" s="1443"/>
      <c r="W223" s="1443"/>
      <c r="X223" s="1443"/>
      <c r="Y223" s="1443"/>
      <c r="Z223" s="1443"/>
      <c r="AA223" s="1443"/>
      <c r="AB223" s="1443"/>
      <c r="AC223" s="1443"/>
      <c r="AD223" s="1443"/>
      <c r="AE223" s="1443"/>
      <c r="AF223" s="1443"/>
      <c r="AG223" s="1443"/>
      <c r="AH223" s="1443"/>
      <c r="AI223" s="1443"/>
      <c r="AJ223" s="1443"/>
      <c r="AK223" s="1443"/>
      <c r="AL223" s="1443"/>
      <c r="AM223" s="1443"/>
      <c r="AN223" s="1443"/>
      <c r="AO223" s="1443"/>
      <c r="AP223" s="1443"/>
      <c r="AQ223" s="1443"/>
      <c r="AR223" s="1443"/>
      <c r="AS223" s="1443"/>
      <c r="AT223" s="1443"/>
      <c r="BA223" s="3"/>
      <c r="BB223" s="3"/>
      <c r="BQ223" s="34"/>
    </row>
    <row r="224" spans="1:72" ht="13" customHeight="1">
      <c r="AZ224" s="4"/>
      <c r="BA224" s="3"/>
      <c r="BB224" s="3"/>
      <c r="BQ224" s="34"/>
    </row>
    <row r="225" spans="1:69" ht="13"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9" t="s">
        <v>600</v>
      </c>
      <c r="AJ226" s="142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9" t="s">
        <v>554</v>
      </c>
      <c r="AJ227" s="142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9" t="s">
        <v>600</v>
      </c>
      <c r="AJ228" s="142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9" t="s">
        <v>600</v>
      </c>
      <c r="AJ229" s="142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3"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813" t="str">
        <f>H16</f>
        <v>716 Seagaze Affordable, L.P.</v>
      </c>
      <c r="N232" s="1813"/>
      <c r="O232" s="1813"/>
      <c r="P232" s="1813"/>
      <c r="Q232" s="1813"/>
      <c r="R232" s="1813"/>
      <c r="S232" s="1813"/>
      <c r="T232" s="1813"/>
      <c r="U232" s="1813"/>
      <c r="V232" s="1813"/>
      <c r="W232" s="1813"/>
      <c r="X232" s="1813"/>
      <c r="Y232" s="1813"/>
      <c r="Z232" s="1813"/>
      <c r="AA232" s="1813"/>
      <c r="AB232" s="1813"/>
      <c r="AC232" s="1813"/>
      <c r="AD232" s="1813"/>
      <c r="AE232" s="1813"/>
      <c r="AF232" s="1813"/>
      <c r="AG232" s="1813"/>
      <c r="AH232" s="1813"/>
      <c r="AI232" s="1813"/>
      <c r="AJ232" s="1813"/>
      <c r="AK232" s="1813"/>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16" t="s">
        <v>2662</v>
      </c>
      <c r="N233" s="1417"/>
      <c r="O233" s="1417"/>
      <c r="P233" s="1417"/>
      <c r="Q233" s="1417"/>
      <c r="R233" s="1417"/>
      <c r="S233" s="1417"/>
      <c r="T233" s="1417"/>
      <c r="U233" s="1417"/>
      <c r="V233" s="1417"/>
      <c r="W233" s="1417"/>
      <c r="X233" s="1417"/>
      <c r="Y233" s="1417"/>
      <c r="Z233" s="1417"/>
      <c r="AA233" s="1417"/>
      <c r="AB233" s="1417"/>
      <c r="AC233" s="1417"/>
      <c r="AD233" s="1417"/>
      <c r="AE233" s="1417"/>
      <c r="BB233" s="219" t="s">
        <v>547</v>
      </c>
      <c r="BG233" s="259">
        <f>IF(AND(AND($M$249="nonprofit",$M$257="for profit",$M$265="nonprofit")),2,0)</f>
        <v>0</v>
      </c>
    </row>
    <row r="234" spans="1:69" ht="13" customHeight="1">
      <c r="D234" s="4" t="s">
        <v>589</v>
      </c>
      <c r="E234" s="4"/>
      <c r="M234" s="1416" t="s">
        <v>2663</v>
      </c>
      <c r="N234" s="1417"/>
      <c r="O234" s="1417"/>
      <c r="P234" s="1417"/>
      <c r="Q234" s="1417"/>
      <c r="R234" s="1417"/>
      <c r="S234" s="1417"/>
      <c r="T234" s="1417"/>
      <c r="V234" s="33" t="s">
        <v>86</v>
      </c>
      <c r="W234" s="1563" t="s">
        <v>2664</v>
      </c>
      <c r="X234" s="1419"/>
      <c r="Y234" s="4" t="s">
        <v>592</v>
      </c>
      <c r="AC234" s="1417">
        <v>66503</v>
      </c>
      <c r="AD234" s="1417"/>
      <c r="AE234" s="1417"/>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16" t="s">
        <v>2665</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19"/>
      <c r="BG235" s="218"/>
    </row>
    <row r="236" spans="1:69" ht="13" customHeight="1">
      <c r="D236" s="4" t="s">
        <v>88</v>
      </c>
      <c r="E236" s="4"/>
      <c r="F236" s="4"/>
      <c r="M236" s="1452" t="s">
        <v>2666</v>
      </c>
      <c r="N236" s="1453"/>
      <c r="O236" s="1453"/>
      <c r="P236" s="1453"/>
      <c r="Q236" s="1453"/>
      <c r="R236" s="1453"/>
      <c r="S236" s="4" t="s">
        <v>207</v>
      </c>
      <c r="T236" s="4"/>
      <c r="U236" s="1419"/>
      <c r="V236" s="1419"/>
      <c r="W236" s="1419"/>
      <c r="X236" s="4" t="s">
        <v>89</v>
      </c>
      <c r="Z236" s="1453"/>
      <c r="AA236" s="1453"/>
      <c r="AB236" s="1453"/>
      <c r="AC236" s="1453"/>
      <c r="AD236" s="1453"/>
      <c r="AE236" s="1453"/>
      <c r="AU236" s="4"/>
      <c r="AV236" s="4"/>
      <c r="AW236" s="4"/>
      <c r="AX236" s="4"/>
      <c r="AY236" s="4"/>
      <c r="AZ236" s="4"/>
      <c r="BB236" s="218" t="s">
        <v>546</v>
      </c>
      <c r="BG236" s="259">
        <f>IF(AND(AND($M$249="nonprofit",$M$257="nonprofit",$M$265="(select one)")),1,0)</f>
        <v>0</v>
      </c>
    </row>
    <row r="237" spans="1:69" ht="13" customHeight="1">
      <c r="D237" s="4" t="s">
        <v>90</v>
      </c>
      <c r="E237" s="4"/>
      <c r="F237" s="4"/>
      <c r="M237" s="1778" t="s">
        <v>2667</v>
      </c>
      <c r="N237" s="1778"/>
      <c r="O237" s="1778"/>
      <c r="P237" s="1778"/>
      <c r="Q237" s="1778"/>
      <c r="R237" s="1778"/>
      <c r="S237" s="1778"/>
      <c r="T237" s="1778"/>
      <c r="U237" s="1778"/>
      <c r="V237" s="1778"/>
      <c r="W237" s="1778"/>
      <c r="X237" s="1778"/>
      <c r="Y237" s="1778"/>
      <c r="Z237" s="1778"/>
      <c r="AA237" s="1778"/>
      <c r="AB237" s="1778"/>
      <c r="AC237" s="1778"/>
      <c r="AD237" s="1778"/>
      <c r="AE237" s="1778"/>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33" t="s">
        <v>537</v>
      </c>
      <c r="N238" s="1433"/>
      <c r="O238" s="1433"/>
      <c r="P238" s="1433"/>
      <c r="Q238" s="1433"/>
      <c r="R238" s="1433"/>
      <c r="S238" s="1433"/>
      <c r="T238" s="1433"/>
      <c r="U238" s="218" t="s">
        <v>922</v>
      </c>
      <c r="V238" s="218"/>
      <c r="W238" s="218"/>
      <c r="X238" s="218"/>
      <c r="Y238" s="218"/>
      <c r="Z238" s="218"/>
      <c r="AA238" s="1795"/>
      <c r="AB238" s="1795"/>
      <c r="AC238" s="1795"/>
      <c r="AD238" s="1795"/>
      <c r="AE238" s="1795"/>
      <c r="AF238" s="1795"/>
      <c r="AG238" s="1795"/>
      <c r="AH238" s="1795"/>
      <c r="AI238" s="1795"/>
      <c r="AJ238" s="1795"/>
      <c r="AK238" s="1795"/>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3" customHeight="1">
      <c r="D239" t="s">
        <v>540</v>
      </c>
      <c r="M239" s="1421"/>
      <c r="N239" s="1421"/>
      <c r="O239" s="1421"/>
      <c r="P239" s="1421"/>
      <c r="Q239" s="1421"/>
      <c r="R239" s="1421"/>
      <c r="S239" s="1421"/>
      <c r="T239" s="1421"/>
      <c r="U239" s="1421"/>
      <c r="V239" s="1421"/>
      <c r="W239" s="1421"/>
      <c r="X239" s="1421"/>
      <c r="Y239" s="1421"/>
      <c r="Z239" s="1421"/>
      <c r="AA239" s="1421"/>
      <c r="AB239" s="1421"/>
      <c r="AC239" s="1421"/>
      <c r="AD239" s="1421"/>
      <c r="AE239" s="142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801" t="s">
        <v>2669</v>
      </c>
      <c r="N243" s="1801"/>
      <c r="O243" s="1801"/>
      <c r="P243" s="1801"/>
      <c r="Q243" s="1801"/>
      <c r="R243" s="1801"/>
      <c r="S243" s="1801"/>
      <c r="T243" s="1801"/>
      <c r="U243" s="1801"/>
      <c r="V243" s="1801"/>
      <c r="W243" s="1801"/>
      <c r="X243" s="1801"/>
      <c r="Y243" s="1801"/>
      <c r="Z243" s="1801"/>
      <c r="AA243" s="1801"/>
      <c r="AB243" s="1801"/>
      <c r="AC243" s="1801"/>
      <c r="AD243" s="1801"/>
      <c r="AE243" s="1801"/>
      <c r="AF243" s="1781" t="s">
        <v>2656</v>
      </c>
      <c r="AG243" s="1781"/>
      <c r="AH243" s="1781"/>
      <c r="AI243" s="1781"/>
      <c r="AJ243" s="1781"/>
      <c r="AK243" s="1781"/>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802" t="s">
        <v>2657</v>
      </c>
      <c r="N244" s="1802"/>
      <c r="O244" s="1802"/>
      <c r="P244" s="1802"/>
      <c r="Q244" s="1802"/>
      <c r="R244" s="1802"/>
      <c r="S244" s="1802"/>
      <c r="T244" s="1802"/>
      <c r="U244" s="1802"/>
      <c r="V244" s="1802"/>
      <c r="W244" s="1802"/>
      <c r="X244" s="1802"/>
      <c r="Y244" s="1802"/>
      <c r="Z244" s="1802"/>
      <c r="AA244" s="1802"/>
      <c r="AB244" s="1802"/>
      <c r="AC244" s="1802"/>
      <c r="AD244" s="1802"/>
      <c r="AE244" s="1802"/>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16" t="s">
        <v>739</v>
      </c>
      <c r="N245" s="1417"/>
      <c r="O245" s="1417"/>
      <c r="P245" s="1417"/>
      <c r="Q245" s="1417"/>
      <c r="R245" s="1417"/>
      <c r="S245" s="1417"/>
      <c r="T245" s="1417"/>
      <c r="V245" s="33" t="s">
        <v>86</v>
      </c>
      <c r="W245" s="1563" t="s">
        <v>2651</v>
      </c>
      <c r="X245" s="1419"/>
      <c r="Y245" s="4" t="s">
        <v>592</v>
      </c>
      <c r="AC245" s="1417">
        <v>92127</v>
      </c>
      <c r="AD245" s="1417"/>
      <c r="AE245" s="1417"/>
      <c r="AF245" s="3" t="s">
        <v>1287</v>
      </c>
      <c r="AU245" s="4"/>
      <c r="AV245" s="4"/>
      <c r="AW245" s="4"/>
      <c r="AX245" s="4"/>
      <c r="AY245" s="4"/>
      <c r="BB245" s="4" t="s">
        <v>281</v>
      </c>
      <c r="BG245">
        <v>2</v>
      </c>
      <c r="BH245" t="s">
        <v>575</v>
      </c>
      <c r="BO245" s="257" t="str">
        <f>VLOOKUP(BG243,BG244:BH247,2,FALSE)</f>
        <v>Joint Venture</v>
      </c>
    </row>
    <row r="246" spans="1:71" ht="13" customHeight="1">
      <c r="A246" s="19"/>
      <c r="B246" s="4"/>
      <c r="C246" s="4"/>
      <c r="D246" s="4" t="s">
        <v>87</v>
      </c>
      <c r="E246" s="4"/>
      <c r="F246" s="4"/>
      <c r="G246" s="4"/>
      <c r="H246" s="4"/>
      <c r="I246" s="4"/>
      <c r="J246" s="4"/>
      <c r="K246" s="4"/>
      <c r="L246" s="19"/>
      <c r="M246" s="1416" t="s">
        <v>2652</v>
      </c>
      <c r="N246" s="1417"/>
      <c r="O246" s="1417"/>
      <c r="P246" s="1417"/>
      <c r="Q246" s="1417"/>
      <c r="R246" s="1417"/>
      <c r="S246" s="1417"/>
      <c r="T246" s="1417"/>
      <c r="U246" s="1417"/>
      <c r="V246" s="1417"/>
      <c r="W246" s="1417"/>
      <c r="X246" s="1417"/>
      <c r="Y246" s="1417"/>
      <c r="Z246" s="1417"/>
      <c r="AA246" s="1417"/>
      <c r="AB246" s="1417"/>
      <c r="AC246" s="1417"/>
      <c r="AD246" s="1417"/>
      <c r="AE246" s="1417"/>
      <c r="AH246" s="1788">
        <v>5.0000000000000001E-3</v>
      </c>
      <c r="AI246" s="1788"/>
      <c r="AJ246" s="1788"/>
      <c r="AK246" s="1788"/>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452" t="s">
        <v>2653</v>
      </c>
      <c r="N247" s="1453"/>
      <c r="O247" s="1453"/>
      <c r="P247" s="1453"/>
      <c r="Q247" s="1453"/>
      <c r="R247" s="1453"/>
      <c r="S247" s="4" t="s">
        <v>207</v>
      </c>
      <c r="T247" s="4"/>
      <c r="U247" s="1419"/>
      <c r="V247" s="1419"/>
      <c r="W247" s="1419"/>
      <c r="X247" s="4" t="s">
        <v>89</v>
      </c>
      <c r="Z247" s="1452" t="s">
        <v>2658</v>
      </c>
      <c r="AA247" s="1453"/>
      <c r="AB247" s="1453"/>
      <c r="AC247" s="1453"/>
      <c r="AD247" s="1453"/>
      <c r="AE247" s="1453"/>
      <c r="AU247" s="4"/>
      <c r="AV247" s="4"/>
      <c r="AW247" s="4"/>
      <c r="AX247" s="4"/>
      <c r="AY247" s="4"/>
      <c r="BG247">
        <v>0</v>
      </c>
      <c r="BH247" s="3"/>
      <c r="BN247" s="34"/>
    </row>
    <row r="248" spans="1:71" ht="13" customHeight="1">
      <c r="A248" s="19"/>
      <c r="B248" s="4"/>
      <c r="C248" s="4"/>
      <c r="D248" s="4" t="s">
        <v>90</v>
      </c>
      <c r="E248" s="4"/>
      <c r="F248" s="4"/>
      <c r="M248" s="1263" t="s">
        <v>2659</v>
      </c>
      <c r="N248" s="1263"/>
      <c r="O248" s="1263"/>
      <c r="P248" s="1263"/>
      <c r="Q248" s="1263"/>
      <c r="R248" s="1263"/>
      <c r="S248" s="1263"/>
      <c r="T248" s="1263"/>
      <c r="U248" s="1263"/>
      <c r="V248" s="1263"/>
      <c r="W248" s="1263"/>
      <c r="X248" s="1263"/>
      <c r="Y248" s="1263"/>
      <c r="Z248" s="1263"/>
      <c r="AA248" s="1263"/>
      <c r="AB248" s="1263"/>
      <c r="AC248" s="1263"/>
      <c r="AD248" s="1263"/>
      <c r="AE248" s="1263"/>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809" t="s">
        <v>2655</v>
      </c>
      <c r="AB249" s="1795"/>
      <c r="AC249" s="1795"/>
      <c r="AD249" s="1795"/>
      <c r="AE249" s="1795"/>
      <c r="AF249" s="1795"/>
      <c r="AG249" s="1795"/>
      <c r="AH249" s="1795"/>
      <c r="AI249" s="1795"/>
      <c r="AJ249" s="1795"/>
      <c r="AK249" s="1795"/>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780" t="s">
        <v>2660</v>
      </c>
      <c r="N251" s="1781"/>
      <c r="O251" s="1781"/>
      <c r="P251" s="1781"/>
      <c r="Q251" s="1781"/>
      <c r="R251" s="1781"/>
      <c r="S251" s="1781"/>
      <c r="T251" s="1781"/>
      <c r="U251" s="1781"/>
      <c r="V251" s="1781"/>
      <c r="W251" s="1781"/>
      <c r="X251" s="1781"/>
      <c r="Y251" s="1781"/>
      <c r="Z251" s="1781"/>
      <c r="AA251" s="1781"/>
      <c r="AB251" s="1781"/>
      <c r="AC251" s="1781"/>
      <c r="AD251" s="1781"/>
      <c r="AE251" s="1781"/>
      <c r="AF251" s="1781" t="s">
        <v>2661</v>
      </c>
      <c r="AG251" s="1781"/>
      <c r="AH251" s="1781"/>
      <c r="AI251" s="1781"/>
      <c r="AJ251" s="1781"/>
      <c r="AK251" s="1781"/>
      <c r="AU251" s="4"/>
      <c r="AV251" s="4"/>
      <c r="AW251" s="4"/>
      <c r="AX251" s="4"/>
      <c r="AY251" s="4"/>
      <c r="BN251" s="34"/>
    </row>
    <row r="252" spans="1:71" ht="13" customHeight="1">
      <c r="A252" s="19"/>
      <c r="B252" s="4"/>
      <c r="C252" s="4"/>
      <c r="D252" s="4" t="s">
        <v>85</v>
      </c>
      <c r="E252" s="4"/>
      <c r="F252" s="4"/>
      <c r="G252" s="4"/>
      <c r="H252" s="4"/>
      <c r="I252" s="4"/>
      <c r="J252" s="4"/>
      <c r="K252" s="4"/>
      <c r="L252" s="4"/>
      <c r="M252" s="1416" t="s">
        <v>2662</v>
      </c>
      <c r="N252" s="1417"/>
      <c r="O252" s="1417"/>
      <c r="P252" s="1417"/>
      <c r="Q252" s="1417"/>
      <c r="R252" s="1417"/>
      <c r="S252" s="1417"/>
      <c r="T252" s="1417"/>
      <c r="U252" s="1417"/>
      <c r="V252" s="1417"/>
      <c r="W252" s="1417"/>
      <c r="X252" s="1417"/>
      <c r="Y252" s="1417"/>
      <c r="Z252" s="1417"/>
      <c r="AA252" s="1417"/>
      <c r="AB252" s="1417"/>
      <c r="AC252" s="1417"/>
      <c r="AD252" s="1417"/>
      <c r="AE252" s="1417"/>
      <c r="AF252" s="3" t="s">
        <v>1286</v>
      </c>
      <c r="AL252" s="4"/>
      <c r="AM252" s="4"/>
      <c r="AN252" s="4"/>
      <c r="AO252" s="4"/>
      <c r="AP252" s="4"/>
      <c r="AQ252" s="4"/>
      <c r="AR252" s="4"/>
      <c r="AS252" s="4"/>
      <c r="AT252" s="4"/>
      <c r="BN252" s="34"/>
    </row>
    <row r="253" spans="1:71" ht="13" customHeight="1">
      <c r="A253" s="19"/>
      <c r="B253" s="4"/>
      <c r="C253" s="4"/>
      <c r="D253" s="4" t="s">
        <v>589</v>
      </c>
      <c r="E253" s="4"/>
      <c r="M253" s="1416" t="s">
        <v>2663</v>
      </c>
      <c r="N253" s="1417"/>
      <c r="O253" s="1417"/>
      <c r="P253" s="1417"/>
      <c r="Q253" s="1417"/>
      <c r="R253" s="1417"/>
      <c r="S253" s="1417"/>
      <c r="T253" s="1417"/>
      <c r="V253" s="33" t="s">
        <v>86</v>
      </c>
      <c r="W253" s="1563" t="s">
        <v>2664</v>
      </c>
      <c r="X253" s="1419"/>
      <c r="Y253" s="4" t="s">
        <v>592</v>
      </c>
      <c r="AC253" s="1417">
        <v>66503</v>
      </c>
      <c r="AD253" s="1417"/>
      <c r="AE253" s="1417"/>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16" t="s">
        <v>2665</v>
      </c>
      <c r="N254" s="1417"/>
      <c r="O254" s="1417"/>
      <c r="P254" s="1417"/>
      <c r="Q254" s="1417"/>
      <c r="R254" s="1417"/>
      <c r="S254" s="1417"/>
      <c r="T254" s="1417"/>
      <c r="U254" s="1417"/>
      <c r="V254" s="1417"/>
      <c r="W254" s="1417"/>
      <c r="X254" s="1417"/>
      <c r="Y254" s="1417"/>
      <c r="Z254" s="1417"/>
      <c r="AA254" s="1417"/>
      <c r="AB254" s="1417"/>
      <c r="AC254" s="1417"/>
      <c r="AD254" s="1417"/>
      <c r="AE254" s="1417"/>
      <c r="AH254" s="1788">
        <v>5.0000000000000001E-3</v>
      </c>
      <c r="AI254" s="1788"/>
      <c r="AJ254" s="1788"/>
      <c r="AK254" s="1788"/>
      <c r="AL254" s="4"/>
      <c r="AM254" s="4"/>
      <c r="AN254" s="4"/>
      <c r="AO254" s="4"/>
      <c r="AP254" s="4"/>
      <c r="AQ254" s="4"/>
      <c r="AR254" s="4"/>
      <c r="AS254" s="4"/>
      <c r="AT254" s="4"/>
    </row>
    <row r="255" spans="1:71" ht="13" customHeight="1">
      <c r="A255" s="19"/>
      <c r="B255" s="4"/>
      <c r="C255" s="4"/>
      <c r="D255" s="4" t="s">
        <v>88</v>
      </c>
      <c r="E255" s="4"/>
      <c r="F255" s="4"/>
      <c r="M255" s="1452" t="s">
        <v>2666</v>
      </c>
      <c r="N255" s="1453"/>
      <c r="O255" s="1453"/>
      <c r="P255" s="1453"/>
      <c r="Q255" s="1453"/>
      <c r="R255" s="1453"/>
      <c r="S255" s="4" t="s">
        <v>207</v>
      </c>
      <c r="T255" s="4"/>
      <c r="U255" s="1419"/>
      <c r="V255" s="1419"/>
      <c r="W255" s="1419"/>
      <c r="X255" s="4" t="s">
        <v>89</v>
      </c>
      <c r="Z255" s="1453"/>
      <c r="AA255" s="1453"/>
      <c r="AB255" s="1453"/>
      <c r="AC255" s="1453"/>
      <c r="AD255" s="1453"/>
      <c r="AE255" s="1453"/>
      <c r="AU255" s="4"/>
      <c r="AV255" s="4"/>
      <c r="AW255" s="4"/>
      <c r="AX255" s="4"/>
      <c r="AY255" s="4"/>
      <c r="BN255" s="34"/>
    </row>
    <row r="256" spans="1:71" ht="13" customHeight="1">
      <c r="A256" s="19"/>
      <c r="B256" s="4"/>
      <c r="C256" s="4"/>
      <c r="D256" s="4" t="s">
        <v>90</v>
      </c>
      <c r="E256" s="4"/>
      <c r="F256" s="4"/>
      <c r="M256" s="1778" t="s">
        <v>2667</v>
      </c>
      <c r="N256" s="1778"/>
      <c r="O256" s="1778"/>
      <c r="P256" s="1778"/>
      <c r="Q256" s="1778"/>
      <c r="R256" s="1778"/>
      <c r="S256" s="1778"/>
      <c r="T256" s="1778"/>
      <c r="U256" s="1778"/>
      <c r="V256" s="1778"/>
      <c r="W256" s="1778"/>
      <c r="X256" s="1778"/>
      <c r="Y256" s="1778"/>
      <c r="Z256" s="1778"/>
      <c r="AA256" s="1778"/>
      <c r="AB256" s="1778"/>
      <c r="AC256" s="1778"/>
      <c r="AD256" s="1778"/>
      <c r="AE256" s="1778"/>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33" t="s">
        <v>545</v>
      </c>
      <c r="N257" s="1433"/>
      <c r="O257" s="1433"/>
      <c r="P257" s="1433"/>
      <c r="Q257" s="1433"/>
      <c r="R257" s="1433"/>
      <c r="S257" s="1433"/>
      <c r="T257" s="1433"/>
      <c r="U257" s="218" t="s">
        <v>922</v>
      </c>
      <c r="V257" s="218"/>
      <c r="W257" s="218"/>
      <c r="X257" s="218"/>
      <c r="Y257" s="218"/>
      <c r="Z257" s="218"/>
      <c r="AA257" s="1809" t="s">
        <v>2668</v>
      </c>
      <c r="AB257" s="1795"/>
      <c r="AC257" s="1795"/>
      <c r="AD257" s="1795"/>
      <c r="AE257" s="1795"/>
      <c r="AF257" s="1795"/>
      <c r="AG257" s="1795"/>
      <c r="AH257" s="1795"/>
      <c r="AI257" s="1795"/>
      <c r="AJ257" s="1795"/>
      <c r="AK257" s="1795"/>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781"/>
      <c r="N259" s="1781"/>
      <c r="O259" s="1781"/>
      <c r="P259" s="1781"/>
      <c r="Q259" s="1781"/>
      <c r="R259" s="1781"/>
      <c r="S259" s="1781"/>
      <c r="T259" s="1781"/>
      <c r="U259" s="1781"/>
      <c r="V259" s="1781"/>
      <c r="W259" s="1781"/>
      <c r="X259" s="1781"/>
      <c r="Y259" s="1781"/>
      <c r="Z259" s="1781"/>
      <c r="AA259" s="1781"/>
      <c r="AB259" s="1781"/>
      <c r="AC259" s="1781"/>
      <c r="AD259" s="1781"/>
      <c r="AE259" s="1781"/>
      <c r="AF259" s="1781" t="s">
        <v>308</v>
      </c>
      <c r="AG259" s="1781"/>
      <c r="AH259" s="1781"/>
      <c r="AI259" s="1781"/>
      <c r="AJ259" s="1781"/>
      <c r="AK259" s="1781"/>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17"/>
      <c r="N261" s="1417"/>
      <c r="O261" s="1417"/>
      <c r="P261" s="1417"/>
      <c r="Q261" s="1417"/>
      <c r="R261" s="1417"/>
      <c r="S261" s="1417"/>
      <c r="T261" s="1417"/>
      <c r="V261" s="33" t="s">
        <v>86</v>
      </c>
      <c r="W261" s="1419"/>
      <c r="X261" s="1419"/>
      <c r="Y261" s="4" t="s">
        <v>592</v>
      </c>
      <c r="AC261" s="1417"/>
      <c r="AD261" s="1417"/>
      <c r="AE261" s="1417"/>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88"/>
      <c r="AI262" s="1788"/>
      <c r="AJ262" s="1788"/>
      <c r="AK262" s="1788"/>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53"/>
      <c r="N263" s="1453"/>
      <c r="O263" s="1453"/>
      <c r="P263" s="1453"/>
      <c r="Q263" s="1453"/>
      <c r="R263" s="1453"/>
      <c r="S263" s="4" t="s">
        <v>207</v>
      </c>
      <c r="T263" s="4"/>
      <c r="U263" s="1419"/>
      <c r="V263" s="1419"/>
      <c r="W263" s="1419"/>
      <c r="X263" s="4" t="s">
        <v>89</v>
      </c>
      <c r="Z263" s="1453"/>
      <c r="AA263" s="1453"/>
      <c r="AB263" s="1453"/>
      <c r="AC263" s="1453"/>
      <c r="AD263" s="1453"/>
      <c r="AE263" s="1453"/>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78"/>
      <c r="N264" s="1778"/>
      <c r="O264" s="1778"/>
      <c r="P264" s="1778"/>
      <c r="Q264" s="1778"/>
      <c r="R264" s="1778"/>
      <c r="S264" s="1778"/>
      <c r="T264" s="1778"/>
      <c r="U264" s="1778"/>
      <c r="V264" s="1778"/>
      <c r="W264" s="1778"/>
      <c r="X264" s="1778"/>
      <c r="Y264" s="1778"/>
      <c r="Z264" s="1778"/>
      <c r="AA264" s="1817"/>
      <c r="AB264" s="1817"/>
      <c r="AC264" s="1817"/>
      <c r="AD264" s="1817"/>
      <c r="AE264" s="1817"/>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816"/>
      <c r="AB265" s="1816"/>
      <c r="AC265" s="1816"/>
      <c r="AD265" s="1816"/>
      <c r="AE265" s="1816"/>
      <c r="AF265" s="1816"/>
      <c r="AG265" s="1816"/>
      <c r="AH265" s="1816"/>
      <c r="AI265" s="1816"/>
      <c r="AJ265" s="1816"/>
      <c r="AK265" s="1816"/>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815" t="str">
        <f>IFERROR(BO245,"")</f>
        <v>Joint Venture</v>
      </c>
      <c r="U267" s="1815"/>
      <c r="V267" s="1815"/>
      <c r="W267" s="1815"/>
      <c r="X267" s="1815"/>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17" t="s">
        <v>281</v>
      </c>
      <c r="E270" s="1417"/>
      <c r="F270" s="1417"/>
      <c r="G270" s="1417"/>
      <c r="H270" s="1417"/>
      <c r="J270" t="s">
        <v>280</v>
      </c>
      <c r="X270" s="1485"/>
      <c r="Y270" s="1485"/>
      <c r="Z270" s="1485"/>
      <c r="AA270" s="1485"/>
      <c r="AB270" s="1485"/>
      <c r="AC270" s="1485"/>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780" t="s">
        <v>2670</v>
      </c>
      <c r="M274" s="1781"/>
      <c r="N274" s="1781"/>
      <c r="O274" s="1781"/>
      <c r="P274" s="1781"/>
      <c r="Q274" s="1781"/>
      <c r="R274" s="1781"/>
      <c r="S274" s="1781"/>
      <c r="T274" s="1781"/>
      <c r="U274" s="1781"/>
      <c r="V274" s="1781"/>
      <c r="W274" s="1781"/>
      <c r="X274" s="1781"/>
      <c r="Y274" s="1781"/>
      <c r="Z274" s="1781"/>
      <c r="AA274" s="1781"/>
      <c r="AB274" s="1781"/>
      <c r="AC274" s="1781"/>
      <c r="AD274" s="1781"/>
      <c r="AE274" s="1781"/>
      <c r="AF274" s="1781"/>
      <c r="AG274" s="1781"/>
      <c r="AH274" s="1781"/>
      <c r="AI274" s="1781"/>
      <c r="AJ274" s="1781"/>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16" t="s">
        <v>2662</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c r="BN275" s="34"/>
    </row>
    <row r="276" spans="1:66" ht="13" customHeight="1">
      <c r="D276" s="4" t="s">
        <v>589</v>
      </c>
      <c r="E276" s="4"/>
      <c r="L276" s="1416" t="s">
        <v>2663</v>
      </c>
      <c r="M276" s="1417"/>
      <c r="N276" s="1417"/>
      <c r="O276" s="1417"/>
      <c r="P276" s="1417"/>
      <c r="Q276" s="1417"/>
      <c r="R276" s="1417"/>
      <c r="S276" s="1417"/>
      <c r="U276" s="33" t="s">
        <v>86</v>
      </c>
      <c r="V276" s="1563" t="s">
        <v>2664</v>
      </c>
      <c r="W276" s="1419"/>
      <c r="X276" s="4" t="s">
        <v>592</v>
      </c>
      <c r="AB276" s="1417">
        <v>66503</v>
      </c>
      <c r="AC276" s="1417"/>
      <c r="AD276" s="1417"/>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16" t="s">
        <v>2665</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c r="BN277" s="34"/>
    </row>
    <row r="278" spans="1:66" ht="13" customHeight="1">
      <c r="D278" s="4" t="s">
        <v>88</v>
      </c>
      <c r="E278" s="4"/>
      <c r="F278" s="4"/>
      <c r="L278" s="1452" t="s">
        <v>2666</v>
      </c>
      <c r="M278" s="1453"/>
      <c r="N278" s="1453"/>
      <c r="O278" s="1453"/>
      <c r="P278" s="1453"/>
      <c r="Q278" s="1453"/>
      <c r="R278" s="4" t="s">
        <v>207</v>
      </c>
      <c r="S278" s="4"/>
      <c r="T278" s="1419"/>
      <c r="U278" s="1419"/>
      <c r="V278" s="1419"/>
      <c r="W278" s="4" t="s">
        <v>89</v>
      </c>
      <c r="Y278" s="1453"/>
      <c r="Z278" s="1453"/>
      <c r="AA278" s="1453"/>
      <c r="AB278" s="1453"/>
      <c r="AC278" s="1453"/>
      <c r="AD278" s="1453"/>
      <c r="BN278" s="34"/>
    </row>
    <row r="279" spans="1:66" ht="13" customHeight="1">
      <c r="D279" s="4" t="s">
        <v>90</v>
      </c>
      <c r="E279" s="4"/>
      <c r="F279" s="4"/>
      <c r="L279" s="1778" t="s">
        <v>2667</v>
      </c>
      <c r="M279" s="1778"/>
      <c r="N279" s="1778"/>
      <c r="O279" s="1778"/>
      <c r="P279" s="1778"/>
      <c r="Q279" s="1778"/>
      <c r="R279" s="1778"/>
      <c r="S279" s="1778"/>
      <c r="T279" s="1778"/>
      <c r="U279" s="1778"/>
      <c r="V279" s="1778"/>
      <c r="W279" s="1778"/>
      <c r="X279" s="1778"/>
      <c r="Y279" s="1778"/>
      <c r="Z279" s="1778"/>
      <c r="AA279" s="1778"/>
      <c r="AB279" s="1778"/>
      <c r="AC279" s="1778"/>
      <c r="AD279" s="1778"/>
      <c r="AF279" s="4"/>
      <c r="AG279" s="4"/>
      <c r="AH279" s="4"/>
      <c r="AI279" s="4"/>
      <c r="AJ279" s="4"/>
      <c r="AU279" s="3"/>
      <c r="AV279" s="3"/>
      <c r="AW279" s="3"/>
      <c r="AX279" s="3"/>
      <c r="AY279" s="3"/>
      <c r="BN279" s="34"/>
    </row>
    <row r="280" spans="1:66" ht="13" customHeight="1">
      <c r="D280" s="3" t="s">
        <v>632</v>
      </c>
      <c r="E280" s="3"/>
      <c r="F280" s="3"/>
      <c r="G280" s="3"/>
      <c r="H280" s="3"/>
      <c r="I280" s="3"/>
      <c r="L280" s="1563" t="s">
        <v>2671</v>
      </c>
      <c r="M280" s="1563"/>
      <c r="N280" s="1563"/>
      <c r="O280" s="1563"/>
      <c r="P280" s="1563"/>
      <c r="Q280" s="1563"/>
      <c r="R280" s="1563"/>
      <c r="S280" s="1563"/>
      <c r="T280" s="1563"/>
      <c r="U280" s="1563"/>
      <c r="V280" s="1563"/>
      <c r="W280" s="1563"/>
      <c r="X280" s="1563"/>
      <c r="Y280" s="1563"/>
      <c r="Z280" s="1563"/>
      <c r="AA280" s="1563"/>
      <c r="AB280" s="1563"/>
      <c r="AC280" s="1563"/>
      <c r="AD280" s="1563"/>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443" t="s">
        <v>550</v>
      </c>
      <c r="B282" s="1443"/>
      <c r="C282" s="1443"/>
      <c r="D282" s="1443"/>
      <c r="E282" s="1443"/>
      <c r="F282" s="1443"/>
      <c r="G282" s="1443"/>
      <c r="H282" s="1443"/>
      <c r="I282" s="1443"/>
      <c r="J282" s="1443"/>
      <c r="K282" s="1443"/>
      <c r="L282" s="1443"/>
      <c r="M282" s="1443"/>
      <c r="N282" s="1443"/>
      <c r="O282" s="1443"/>
      <c r="P282" s="1443"/>
      <c r="Q282" s="1443"/>
      <c r="R282" s="1443"/>
      <c r="S282" s="1443"/>
      <c r="T282" s="1443"/>
      <c r="U282" s="1443"/>
      <c r="V282" s="1443"/>
      <c r="W282" s="1443"/>
      <c r="X282" s="1443"/>
      <c r="Y282" s="1443"/>
      <c r="Z282" s="1443"/>
      <c r="AA282" s="1443"/>
      <c r="AB282" s="1443"/>
      <c r="AC282" s="1443"/>
      <c r="AD282" s="1443"/>
      <c r="AE282" s="1443"/>
      <c r="AF282" s="1443"/>
      <c r="AG282" s="1443"/>
      <c r="AH282" s="1443"/>
      <c r="AI282" s="1443"/>
      <c r="AJ282" s="1443"/>
      <c r="AK282" s="1443"/>
      <c r="AL282" s="1443"/>
      <c r="AM282" s="1443"/>
      <c r="AN282" s="1443"/>
      <c r="AO282" s="1443"/>
      <c r="AP282" s="1443"/>
      <c r="AQ282" s="1443"/>
      <c r="AR282" s="1443"/>
      <c r="AS282" s="1443"/>
      <c r="AT282" s="1443"/>
      <c r="AU282" s="95"/>
      <c r="AV282" s="95"/>
      <c r="AW282" s="95"/>
      <c r="AX282" s="95"/>
      <c r="AY282" s="95"/>
      <c r="BN282" s="34"/>
    </row>
    <row r="283" spans="1:66" ht="13" customHeight="1">
      <c r="A283" s="1443"/>
      <c r="B283" s="1443"/>
      <c r="C283" s="1443"/>
      <c r="D283" s="1443"/>
      <c r="E283" s="1443"/>
      <c r="F283" s="1443"/>
      <c r="G283" s="1443"/>
      <c r="H283" s="1443"/>
      <c r="I283" s="1443"/>
      <c r="J283" s="1443"/>
      <c r="K283" s="1443"/>
      <c r="L283" s="1443"/>
      <c r="M283" s="1443"/>
      <c r="N283" s="1443"/>
      <c r="O283" s="1443"/>
      <c r="P283" s="1443"/>
      <c r="Q283" s="1443"/>
      <c r="R283" s="1443"/>
      <c r="S283" s="1443"/>
      <c r="T283" s="1443"/>
      <c r="U283" s="1443"/>
      <c r="V283" s="1443"/>
      <c r="W283" s="1443"/>
      <c r="X283" s="1443"/>
      <c r="Y283" s="1443"/>
      <c r="Z283" s="1443"/>
      <c r="AA283" s="1443"/>
      <c r="AB283" s="1443"/>
      <c r="AC283" s="1443"/>
      <c r="AD283" s="1443"/>
      <c r="AE283" s="1443"/>
      <c r="AF283" s="1443"/>
      <c r="AG283" s="1443"/>
      <c r="AH283" s="1443"/>
      <c r="AI283" s="1443"/>
      <c r="AJ283" s="1443"/>
      <c r="AK283" s="1443"/>
      <c r="AL283" s="1443"/>
      <c r="AM283" s="1443"/>
      <c r="AN283" s="1443"/>
      <c r="AO283" s="1443"/>
      <c r="AP283" s="1443"/>
      <c r="AQ283" s="1443"/>
      <c r="AR283" s="1443"/>
      <c r="AS283" s="1443"/>
      <c r="AT283" s="1443"/>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416" t="s">
        <v>2741</v>
      </c>
      <c r="I287" s="1421"/>
      <c r="J287" s="1421"/>
      <c r="K287" s="1421"/>
      <c r="L287" s="1421"/>
      <c r="M287" s="1421"/>
      <c r="N287" s="1421"/>
      <c r="O287" s="1421"/>
      <c r="P287" s="1421"/>
      <c r="Q287" s="1421"/>
      <c r="R287" s="1421"/>
      <c r="T287" s="3" t="s">
        <v>576</v>
      </c>
      <c r="V287" s="3"/>
      <c r="W287" s="3"/>
      <c r="X287" s="3"/>
      <c r="Y287" s="3"/>
      <c r="AA287" s="1416" t="s">
        <v>2678</v>
      </c>
      <c r="AB287" s="1421"/>
      <c r="AC287" s="1421"/>
      <c r="AD287" s="1421"/>
      <c r="AE287" s="1421"/>
      <c r="AF287" s="1421"/>
      <c r="AG287" s="1421"/>
      <c r="AH287" s="1421"/>
      <c r="AI287" s="1421"/>
      <c r="AJ287" s="1421"/>
      <c r="AK287" s="1421"/>
      <c r="BN287" s="34"/>
    </row>
    <row r="288" spans="1:66" ht="13" customHeight="1">
      <c r="B288" s="3" t="s">
        <v>480</v>
      </c>
      <c r="C288" s="3"/>
      <c r="D288" s="3"/>
      <c r="E288" s="3"/>
      <c r="F288" s="3"/>
      <c r="H288" s="1563" t="s">
        <v>2673</v>
      </c>
      <c r="I288" s="1433"/>
      <c r="J288" s="1433"/>
      <c r="K288" s="1433"/>
      <c r="L288" s="1433"/>
      <c r="M288" s="1433"/>
      <c r="N288" s="1433"/>
      <c r="O288" s="1433"/>
      <c r="P288" s="1433"/>
      <c r="Q288" s="1433"/>
      <c r="R288" s="1433"/>
      <c r="T288" s="3" t="s">
        <v>480</v>
      </c>
      <c r="V288" s="3"/>
      <c r="W288" s="3"/>
      <c r="X288" s="3"/>
      <c r="Y288" s="3"/>
      <c r="AA288" s="1563" t="s">
        <v>2673</v>
      </c>
      <c r="AB288" s="1433"/>
      <c r="AC288" s="1433"/>
      <c r="AD288" s="1433"/>
      <c r="AE288" s="1433"/>
      <c r="AF288" s="1433"/>
      <c r="AG288" s="1433"/>
      <c r="AH288" s="1433"/>
      <c r="AI288" s="1433"/>
      <c r="AJ288" s="1433"/>
      <c r="AK288" s="1433"/>
      <c r="BN288" s="34"/>
    </row>
    <row r="289" spans="2:66" ht="13" customHeight="1">
      <c r="B289" s="3" t="s">
        <v>481</v>
      </c>
      <c r="C289" s="3"/>
      <c r="D289" s="3"/>
      <c r="E289" s="3"/>
      <c r="F289" s="3"/>
      <c r="H289" s="1563" t="s">
        <v>2674</v>
      </c>
      <c r="I289" s="1433"/>
      <c r="J289" s="1433"/>
      <c r="K289" s="1433"/>
      <c r="L289" s="1433"/>
      <c r="M289" s="1433"/>
      <c r="N289" s="1433"/>
      <c r="O289" s="1433"/>
      <c r="P289" s="1433"/>
      <c r="Q289" s="1433"/>
      <c r="R289" s="1433"/>
      <c r="T289" s="3" t="s">
        <v>75</v>
      </c>
      <c r="V289" s="3"/>
      <c r="W289" s="3"/>
      <c r="X289" s="3"/>
      <c r="Y289" s="3"/>
      <c r="AA289" s="1563" t="s">
        <v>2674</v>
      </c>
      <c r="AB289" s="1433"/>
      <c r="AC289" s="1433"/>
      <c r="AD289" s="1433"/>
      <c r="AE289" s="1433"/>
      <c r="AF289" s="1433"/>
      <c r="AG289" s="1433"/>
      <c r="AH289" s="1433"/>
      <c r="AI289" s="1433"/>
      <c r="AJ289" s="1433"/>
      <c r="AK289" s="1433"/>
      <c r="BN289" s="34"/>
    </row>
    <row r="290" spans="2:66" ht="13" customHeight="1">
      <c r="B290" s="3" t="s">
        <v>87</v>
      </c>
      <c r="C290" s="3"/>
      <c r="D290" s="3"/>
      <c r="E290" s="3"/>
      <c r="F290" s="3"/>
      <c r="H290" s="1563" t="s">
        <v>2675</v>
      </c>
      <c r="I290" s="1433"/>
      <c r="J290" s="1433"/>
      <c r="K290" s="1433"/>
      <c r="L290" s="1433"/>
      <c r="M290" s="1433"/>
      <c r="N290" s="1433"/>
      <c r="O290" s="1433"/>
      <c r="P290" s="1433"/>
      <c r="Q290" s="1433"/>
      <c r="R290" s="1433"/>
      <c r="T290" s="3" t="s">
        <v>87</v>
      </c>
      <c r="V290" s="3"/>
      <c r="W290" s="3"/>
      <c r="X290" s="3"/>
      <c r="Y290" s="3"/>
      <c r="AA290" s="1563" t="s">
        <v>2675</v>
      </c>
      <c r="AB290" s="1433"/>
      <c r="AC290" s="1433"/>
      <c r="AD290" s="1433"/>
      <c r="AE290" s="1433"/>
      <c r="AF290" s="1433"/>
      <c r="AG290" s="1433"/>
      <c r="AH290" s="1433"/>
      <c r="AI290" s="1433"/>
      <c r="AJ290" s="1433"/>
      <c r="AK290" s="1433"/>
      <c r="BN290" s="34"/>
    </row>
    <row r="291" spans="2:66" ht="13" customHeight="1">
      <c r="B291" s="3" t="s">
        <v>88</v>
      </c>
      <c r="C291" s="3"/>
      <c r="D291" s="3"/>
      <c r="E291" s="3"/>
      <c r="F291" s="3"/>
      <c r="G291" s="3"/>
      <c r="H291" s="1444" t="s">
        <v>2676</v>
      </c>
      <c r="I291" s="1445"/>
      <c r="J291" s="1445"/>
      <c r="K291" s="1445"/>
      <c r="L291" s="1445"/>
      <c r="M291" s="1445"/>
      <c r="N291" s="4" t="s">
        <v>207</v>
      </c>
      <c r="O291" s="4"/>
      <c r="P291" s="1417"/>
      <c r="Q291" s="1417"/>
      <c r="R291" s="1417"/>
      <c r="S291" s="3"/>
      <c r="T291" s="3" t="s">
        <v>88</v>
      </c>
      <c r="V291" s="3"/>
      <c r="W291" s="3"/>
      <c r="X291" s="3"/>
      <c r="Y291" s="3"/>
      <c r="AA291" s="1444" t="s">
        <v>2676</v>
      </c>
      <c r="AB291" s="1445"/>
      <c r="AC291" s="1445"/>
      <c r="AD291" s="1445"/>
      <c r="AE291" s="1445"/>
      <c r="AF291" s="1445"/>
      <c r="AG291" s="4" t="s">
        <v>207</v>
      </c>
      <c r="AH291" s="4"/>
      <c r="AI291" s="1417"/>
      <c r="AJ291" s="1417"/>
      <c r="AK291" s="1417"/>
      <c r="BN291" s="34"/>
    </row>
    <row r="292" spans="2:66" ht="13" customHeight="1">
      <c r="B292" s="3" t="s">
        <v>89</v>
      </c>
      <c r="C292" s="3"/>
      <c r="D292" s="3"/>
      <c r="E292" s="3"/>
      <c r="F292" s="3"/>
      <c r="G292" s="3"/>
      <c r="H292" s="1452" t="s">
        <v>2658</v>
      </c>
      <c r="I292" s="1453"/>
      <c r="J292" s="1453"/>
      <c r="K292" s="1453"/>
      <c r="L292" s="1453"/>
      <c r="M292" s="1453"/>
      <c r="N292" s="4"/>
      <c r="O292" s="4"/>
      <c r="P292" s="35"/>
      <c r="Q292" s="35"/>
      <c r="R292" s="35"/>
      <c r="S292" s="3"/>
      <c r="T292" s="3" t="s">
        <v>89</v>
      </c>
      <c r="V292" s="3"/>
      <c r="W292" s="3"/>
      <c r="X292" s="3"/>
      <c r="Y292" s="3"/>
      <c r="AA292" s="1453"/>
      <c r="AB292" s="1453"/>
      <c r="AC292" s="1453"/>
      <c r="AD292" s="1453"/>
      <c r="AE292" s="1453"/>
      <c r="AF292" s="1453"/>
      <c r="AG292" s="4"/>
      <c r="AH292" s="4"/>
      <c r="AI292" s="35"/>
      <c r="AJ292" s="35"/>
      <c r="AK292" s="35"/>
      <c r="BN292" s="34"/>
    </row>
    <row r="293" spans="2:66" ht="13" customHeight="1">
      <c r="B293" s="3" t="s">
        <v>76</v>
      </c>
      <c r="C293" s="3"/>
      <c r="D293" s="3"/>
      <c r="E293" s="3"/>
      <c r="F293" s="3"/>
      <c r="G293" s="3"/>
      <c r="H293" s="1563" t="s">
        <v>2677</v>
      </c>
      <c r="I293" s="1433"/>
      <c r="J293" s="1433"/>
      <c r="K293" s="1433"/>
      <c r="L293" s="1433"/>
      <c r="M293" s="1433"/>
      <c r="N293" s="1421"/>
      <c r="O293" s="1421"/>
      <c r="P293" s="1421"/>
      <c r="Q293" s="1421"/>
      <c r="R293" s="1421"/>
      <c r="S293" s="3"/>
      <c r="T293" s="3" t="s">
        <v>76</v>
      </c>
      <c r="V293" s="3"/>
      <c r="W293" s="3"/>
      <c r="X293" s="3"/>
      <c r="Y293" s="3"/>
      <c r="AA293" s="1563" t="s">
        <v>2677</v>
      </c>
      <c r="AB293" s="1433"/>
      <c r="AC293" s="1433"/>
      <c r="AD293" s="1433"/>
      <c r="AE293" s="1433"/>
      <c r="AF293" s="1433"/>
      <c r="AG293" s="1421"/>
      <c r="AH293" s="1421"/>
      <c r="AI293" s="1421"/>
      <c r="AJ293" s="1421"/>
      <c r="AK293" s="1421"/>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16" t="s">
        <v>2679</v>
      </c>
      <c r="I295" s="1421"/>
      <c r="J295" s="1421"/>
      <c r="K295" s="1421"/>
      <c r="L295" s="1421"/>
      <c r="M295" s="1421"/>
      <c r="N295" s="1421"/>
      <c r="O295" s="1421"/>
      <c r="P295" s="1421"/>
      <c r="Q295" s="1421"/>
      <c r="R295" s="1421"/>
      <c r="T295" s="3" t="s">
        <v>365</v>
      </c>
      <c r="V295" s="3"/>
      <c r="W295" s="3"/>
      <c r="X295" s="3"/>
      <c r="Y295" s="3"/>
      <c r="AA295" s="1421" t="s">
        <v>2672</v>
      </c>
      <c r="AB295" s="1421"/>
      <c r="AC295" s="1421"/>
      <c r="AD295" s="1421"/>
      <c r="AE295" s="1421"/>
      <c r="AF295" s="1421"/>
      <c r="AG295" s="1421"/>
      <c r="AH295" s="1421"/>
      <c r="AI295" s="1421"/>
      <c r="AJ295" s="1421"/>
      <c r="AK295" s="1421"/>
      <c r="BN295" s="34"/>
    </row>
    <row r="296" spans="2:66" ht="13" customHeight="1">
      <c r="B296" s="3" t="s">
        <v>480</v>
      </c>
      <c r="C296" s="3"/>
      <c r="D296" s="3"/>
      <c r="E296" s="3"/>
      <c r="F296" s="3"/>
      <c r="H296" s="1563" t="s">
        <v>2681</v>
      </c>
      <c r="I296" s="1433"/>
      <c r="J296" s="1433"/>
      <c r="K296" s="1433"/>
      <c r="L296" s="1433"/>
      <c r="M296" s="1433"/>
      <c r="N296" s="1433"/>
      <c r="O296" s="1433"/>
      <c r="P296" s="1433"/>
      <c r="Q296" s="1433"/>
      <c r="R296" s="1433"/>
      <c r="T296" s="3" t="s">
        <v>480</v>
      </c>
      <c r="V296" s="3"/>
      <c r="W296" s="3"/>
      <c r="X296" s="3"/>
      <c r="Y296" s="3"/>
      <c r="AA296" s="1433" t="s">
        <v>2673</v>
      </c>
      <c r="AB296" s="1433"/>
      <c r="AC296" s="1433"/>
      <c r="AD296" s="1433"/>
      <c r="AE296" s="1433"/>
      <c r="AF296" s="1433"/>
      <c r="AG296" s="1433"/>
      <c r="AH296" s="1433"/>
      <c r="AI296" s="1433"/>
      <c r="AJ296" s="1433"/>
      <c r="AK296" s="1433"/>
      <c r="BN296" s="34"/>
    </row>
    <row r="297" spans="2:66" ht="13" customHeight="1">
      <c r="B297" s="3" t="s">
        <v>481</v>
      </c>
      <c r="C297" s="3"/>
      <c r="D297" s="3"/>
      <c r="E297" s="3"/>
      <c r="F297" s="3"/>
      <c r="H297" s="1563" t="s">
        <v>2682</v>
      </c>
      <c r="I297" s="1433"/>
      <c r="J297" s="1433"/>
      <c r="K297" s="1433"/>
      <c r="L297" s="1433"/>
      <c r="M297" s="1433"/>
      <c r="N297" s="1433"/>
      <c r="O297" s="1433"/>
      <c r="P297" s="1433"/>
      <c r="Q297" s="1433"/>
      <c r="R297" s="1433"/>
      <c r="T297" s="3" t="s">
        <v>75</v>
      </c>
      <c r="V297" s="3"/>
      <c r="W297" s="3"/>
      <c r="X297" s="3"/>
      <c r="Y297" s="3"/>
      <c r="AA297" s="1433" t="s">
        <v>2674</v>
      </c>
      <c r="AB297" s="1433"/>
      <c r="AC297" s="1433"/>
      <c r="AD297" s="1433"/>
      <c r="AE297" s="1433"/>
      <c r="AF297" s="1433"/>
      <c r="AG297" s="1433"/>
      <c r="AH297" s="1433"/>
      <c r="AI297" s="1433"/>
      <c r="AJ297" s="1433"/>
      <c r="AK297" s="1433"/>
      <c r="BN297" s="34"/>
    </row>
    <row r="298" spans="2:66" ht="13" customHeight="1">
      <c r="B298" s="3" t="s">
        <v>87</v>
      </c>
      <c r="C298" s="3"/>
      <c r="D298" s="3"/>
      <c r="E298" s="3"/>
      <c r="F298" s="3"/>
      <c r="H298" s="1563" t="s">
        <v>2680</v>
      </c>
      <c r="I298" s="1433"/>
      <c r="J298" s="1433"/>
      <c r="K298" s="1433"/>
      <c r="L298" s="1433"/>
      <c r="M298" s="1433"/>
      <c r="N298" s="1433"/>
      <c r="O298" s="1433"/>
      <c r="P298" s="1433"/>
      <c r="Q298" s="1433"/>
      <c r="R298" s="1433"/>
      <c r="T298" s="3" t="s">
        <v>87</v>
      </c>
      <c r="V298" s="3"/>
      <c r="W298" s="3"/>
      <c r="X298" s="3"/>
      <c r="Y298" s="3"/>
      <c r="AA298" s="1433" t="s">
        <v>2675</v>
      </c>
      <c r="AB298" s="1433"/>
      <c r="AC298" s="1433"/>
      <c r="AD298" s="1433"/>
      <c r="AE298" s="1433"/>
      <c r="AF298" s="1433"/>
      <c r="AG298" s="1433"/>
      <c r="AH298" s="1433"/>
      <c r="AI298" s="1433"/>
      <c r="AJ298" s="1433"/>
      <c r="AK298" s="1433"/>
      <c r="BN298" s="34"/>
    </row>
    <row r="299" spans="2:66" ht="13" customHeight="1">
      <c r="B299" s="3" t="s">
        <v>88</v>
      </c>
      <c r="C299" s="3"/>
      <c r="D299" s="3"/>
      <c r="E299" s="3"/>
      <c r="F299" s="3"/>
      <c r="G299" s="3"/>
      <c r="H299" s="1444" t="s">
        <v>2692</v>
      </c>
      <c r="I299" s="1445"/>
      <c r="J299" s="1445"/>
      <c r="K299" s="1445"/>
      <c r="L299" s="1445"/>
      <c r="M299" s="1445"/>
      <c r="N299" s="4" t="s">
        <v>207</v>
      </c>
      <c r="O299" s="4"/>
      <c r="P299" s="1417">
        <v>8</v>
      </c>
      <c r="Q299" s="1417"/>
      <c r="R299" s="1417"/>
      <c r="S299" s="3"/>
      <c r="T299" s="3" t="s">
        <v>88</v>
      </c>
      <c r="V299" s="3"/>
      <c r="W299" s="3"/>
      <c r="X299" s="3"/>
      <c r="Y299" s="3"/>
      <c r="AA299" s="1444" t="s">
        <v>2676</v>
      </c>
      <c r="AB299" s="1445"/>
      <c r="AC299" s="1445"/>
      <c r="AD299" s="1445"/>
      <c r="AE299" s="1445"/>
      <c r="AF299" s="1445"/>
      <c r="AG299" s="4" t="s">
        <v>207</v>
      </c>
      <c r="AH299" s="4"/>
      <c r="AI299" s="1417"/>
      <c r="AJ299" s="1417"/>
      <c r="AK299" s="1417"/>
      <c r="BN299" s="34"/>
    </row>
    <row r="300" spans="2:66" ht="13" customHeight="1">
      <c r="B300" s="3" t="s">
        <v>89</v>
      </c>
      <c r="C300" s="3"/>
      <c r="D300" s="3"/>
      <c r="E300" s="3"/>
      <c r="F300" s="3"/>
      <c r="G300" s="3"/>
      <c r="H300" s="1453"/>
      <c r="I300" s="1453"/>
      <c r="J300" s="1453"/>
      <c r="K300" s="1453"/>
      <c r="L300" s="1453"/>
      <c r="M300" s="1453"/>
      <c r="N300" s="4"/>
      <c r="O300" s="4"/>
      <c r="P300" s="35"/>
      <c r="Q300" s="35"/>
      <c r="R300" s="35"/>
      <c r="S300" s="3"/>
      <c r="T300" s="3" t="s">
        <v>89</v>
      </c>
      <c r="V300" s="3"/>
      <c r="W300" s="3"/>
      <c r="X300" s="3"/>
      <c r="Y300" s="3"/>
      <c r="AA300" s="1453"/>
      <c r="AB300" s="1453"/>
      <c r="AC300" s="1453"/>
      <c r="AD300" s="1453"/>
      <c r="AE300" s="1453"/>
      <c r="AF300" s="1453"/>
      <c r="AG300" s="4"/>
      <c r="AH300" s="4"/>
      <c r="AI300" s="35"/>
      <c r="AJ300" s="35"/>
      <c r="AK300" s="35"/>
      <c r="BN300" s="34"/>
    </row>
    <row r="301" spans="2:66" ht="13" customHeight="1">
      <c r="B301" s="3" t="s">
        <v>76</v>
      </c>
      <c r="C301" s="3"/>
      <c r="D301" s="3"/>
      <c r="E301" s="3"/>
      <c r="F301" s="3"/>
      <c r="G301" s="3"/>
      <c r="H301" s="1563" t="s">
        <v>2693</v>
      </c>
      <c r="I301" s="1433"/>
      <c r="J301" s="1433"/>
      <c r="K301" s="1433"/>
      <c r="L301" s="1433"/>
      <c r="M301" s="1433"/>
      <c r="N301" s="1421"/>
      <c r="O301" s="1421"/>
      <c r="P301" s="1421"/>
      <c r="Q301" s="1421"/>
      <c r="R301" s="1421"/>
      <c r="S301" s="3"/>
      <c r="T301" s="3" t="s">
        <v>76</v>
      </c>
      <c r="V301" s="3"/>
      <c r="W301" s="3"/>
      <c r="X301" s="3"/>
      <c r="Y301" s="3"/>
      <c r="AA301" s="1433" t="s">
        <v>2677</v>
      </c>
      <c r="AB301" s="1433"/>
      <c r="AC301" s="1433"/>
      <c r="AD301" s="1433"/>
      <c r="AE301" s="1433"/>
      <c r="AF301" s="1433"/>
      <c r="AG301" s="1421"/>
      <c r="AH301" s="1421"/>
      <c r="AI301" s="1421"/>
      <c r="AJ301" s="1421"/>
      <c r="AK301" s="1421"/>
      <c r="BN301" s="34"/>
    </row>
    <row r="302" spans="2:66" ht="13" customHeight="1">
      <c r="BN302" s="34"/>
    </row>
    <row r="303" spans="2:66" ht="13" customHeight="1">
      <c r="B303" s="3" t="s">
        <v>77</v>
      </c>
      <c r="C303" s="3"/>
      <c r="D303" s="3"/>
      <c r="E303" s="3"/>
      <c r="F303" s="3"/>
      <c r="H303" s="1421" t="s">
        <v>2679</v>
      </c>
      <c r="I303" s="1421"/>
      <c r="J303" s="1421"/>
      <c r="K303" s="1421"/>
      <c r="L303" s="1421"/>
      <c r="M303" s="1421"/>
      <c r="N303" s="1421"/>
      <c r="O303" s="1421"/>
      <c r="P303" s="1421"/>
      <c r="Q303" s="1421"/>
      <c r="R303" s="1421"/>
      <c r="T303" s="4" t="s">
        <v>891</v>
      </c>
      <c r="V303" s="3"/>
      <c r="W303" s="3"/>
      <c r="X303" s="3"/>
      <c r="Y303" s="3"/>
      <c r="AA303" s="1416" t="s">
        <v>2691</v>
      </c>
      <c r="AB303" s="1421"/>
      <c r="AC303" s="1421"/>
      <c r="AD303" s="1421"/>
      <c r="AE303" s="1421"/>
      <c r="AF303" s="1421"/>
      <c r="AG303" s="1421"/>
      <c r="AH303" s="1421"/>
      <c r="AI303" s="1421"/>
      <c r="AJ303" s="1421"/>
      <c r="AK303" s="1421"/>
      <c r="BN303" s="34"/>
    </row>
    <row r="304" spans="2:66" ht="13" customHeight="1">
      <c r="B304" s="3" t="s">
        <v>480</v>
      </c>
      <c r="C304" s="3"/>
      <c r="D304" s="3"/>
      <c r="E304" s="3"/>
      <c r="F304" s="3"/>
      <c r="H304" s="1433" t="s">
        <v>2681</v>
      </c>
      <c r="I304" s="1433"/>
      <c r="J304" s="1433"/>
      <c r="K304" s="1433"/>
      <c r="L304" s="1433"/>
      <c r="M304" s="1433"/>
      <c r="N304" s="1433"/>
      <c r="O304" s="1433"/>
      <c r="P304" s="1433"/>
      <c r="Q304" s="1433"/>
      <c r="R304" s="1433"/>
      <c r="T304" s="3" t="s">
        <v>480</v>
      </c>
      <c r="V304" s="3"/>
      <c r="W304" s="3"/>
      <c r="X304" s="3"/>
      <c r="Y304" s="3"/>
      <c r="AA304" s="1433"/>
      <c r="AB304" s="1433"/>
      <c r="AC304" s="1433"/>
      <c r="AD304" s="1433"/>
      <c r="AE304" s="1433"/>
      <c r="AF304" s="1433"/>
      <c r="AG304" s="1433"/>
      <c r="AH304" s="1433"/>
      <c r="AI304" s="1433"/>
      <c r="AJ304" s="1433"/>
      <c r="AK304" s="1433"/>
      <c r="BN304" s="34"/>
    </row>
    <row r="305" spans="2:66" ht="13" customHeight="1">
      <c r="B305" s="3" t="s">
        <v>481</v>
      </c>
      <c r="C305" s="3"/>
      <c r="D305" s="3"/>
      <c r="E305" s="3"/>
      <c r="F305" s="3"/>
      <c r="H305" s="1433" t="s">
        <v>2682</v>
      </c>
      <c r="I305" s="1433"/>
      <c r="J305" s="1433"/>
      <c r="K305" s="1433"/>
      <c r="L305" s="1433"/>
      <c r="M305" s="1433"/>
      <c r="N305" s="1433"/>
      <c r="O305" s="1433"/>
      <c r="P305" s="1433"/>
      <c r="Q305" s="1433"/>
      <c r="R305" s="1433"/>
      <c r="T305" s="3" t="s">
        <v>75</v>
      </c>
      <c r="V305" s="3"/>
      <c r="W305" s="3"/>
      <c r="X305" s="3"/>
      <c r="Y305" s="3"/>
      <c r="AA305" s="1433"/>
      <c r="AB305" s="1433"/>
      <c r="AC305" s="1433"/>
      <c r="AD305" s="1433"/>
      <c r="AE305" s="1433"/>
      <c r="AF305" s="1433"/>
      <c r="AG305" s="1433"/>
      <c r="AH305" s="1433"/>
      <c r="AI305" s="1433"/>
      <c r="AJ305" s="1433"/>
      <c r="AK305" s="1433"/>
      <c r="BN305" s="34"/>
    </row>
    <row r="306" spans="2:66" ht="13" customHeight="1">
      <c r="B306" s="3" t="s">
        <v>87</v>
      </c>
      <c r="C306" s="3"/>
      <c r="D306" s="3"/>
      <c r="E306" s="3"/>
      <c r="F306" s="3"/>
      <c r="H306" s="1433" t="s">
        <v>2680</v>
      </c>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3" customHeight="1">
      <c r="B307" s="3" t="s">
        <v>88</v>
      </c>
      <c r="C307" s="3"/>
      <c r="D307" s="3"/>
      <c r="E307" s="3"/>
      <c r="F307" s="3"/>
      <c r="G307" s="3"/>
      <c r="H307" s="1445" t="s">
        <v>2692</v>
      </c>
      <c r="I307" s="1445"/>
      <c r="J307" s="1445"/>
      <c r="K307" s="1445"/>
      <c r="L307" s="1445"/>
      <c r="M307" s="1445"/>
      <c r="N307" s="4" t="s">
        <v>207</v>
      </c>
      <c r="O307" s="4"/>
      <c r="P307" s="1417">
        <v>8</v>
      </c>
      <c r="Q307" s="1417"/>
      <c r="R307" s="1417"/>
      <c r="S307" s="3"/>
      <c r="T307" s="3" t="s">
        <v>88</v>
      </c>
      <c r="V307" s="3"/>
      <c r="W307" s="3"/>
      <c r="X307" s="3"/>
      <c r="Y307" s="3"/>
      <c r="AA307" s="1445"/>
      <c r="AB307" s="1445"/>
      <c r="AC307" s="1445"/>
      <c r="AD307" s="1445"/>
      <c r="AE307" s="1445"/>
      <c r="AF307" s="1445"/>
      <c r="AG307" s="4" t="s">
        <v>207</v>
      </c>
      <c r="AH307" s="4"/>
      <c r="AI307" s="1417"/>
      <c r="AJ307" s="1417"/>
      <c r="AK307" s="1417"/>
      <c r="BN307" s="34"/>
    </row>
    <row r="308" spans="2:66" ht="13" customHeight="1">
      <c r="B308" s="3" t="s">
        <v>89</v>
      </c>
      <c r="C308" s="3"/>
      <c r="D308" s="3"/>
      <c r="E308" s="3"/>
      <c r="F308" s="3"/>
      <c r="G308" s="3"/>
      <c r="H308" s="1453"/>
      <c r="I308" s="1453"/>
      <c r="J308" s="1453"/>
      <c r="K308" s="1453"/>
      <c r="L308" s="1453"/>
      <c r="M308" s="1453"/>
      <c r="N308" s="4"/>
      <c r="O308" s="4"/>
      <c r="P308" s="35"/>
      <c r="Q308" s="35"/>
      <c r="R308" s="35"/>
      <c r="S308" s="3"/>
      <c r="T308" s="3" t="s">
        <v>89</v>
      </c>
      <c r="V308" s="3"/>
      <c r="W308" s="3"/>
      <c r="X308" s="3"/>
      <c r="Y308" s="3"/>
      <c r="AA308" s="1453"/>
      <c r="AB308" s="1453"/>
      <c r="AC308" s="1453"/>
      <c r="AD308" s="1453"/>
      <c r="AE308" s="1453"/>
      <c r="AF308" s="1453"/>
      <c r="AG308" s="4"/>
      <c r="AH308" s="4"/>
      <c r="AI308" s="35"/>
      <c r="AJ308" s="35"/>
      <c r="AK308" s="35"/>
      <c r="BN308" s="34"/>
    </row>
    <row r="309" spans="2:66" ht="13" customHeight="1">
      <c r="B309" s="3" t="s">
        <v>76</v>
      </c>
      <c r="C309" s="3"/>
      <c r="D309" s="3"/>
      <c r="E309" s="3"/>
      <c r="F309" s="3"/>
      <c r="G309" s="3"/>
      <c r="H309" s="1433" t="s">
        <v>2693</v>
      </c>
      <c r="I309" s="1433"/>
      <c r="J309" s="1433"/>
      <c r="K309" s="1433"/>
      <c r="L309" s="1433"/>
      <c r="M309" s="1433"/>
      <c r="N309" s="1421"/>
      <c r="O309" s="1421"/>
      <c r="P309" s="1421"/>
      <c r="Q309" s="1421"/>
      <c r="R309" s="1421"/>
      <c r="S309" s="3"/>
      <c r="T309" s="3" t="s">
        <v>76</v>
      </c>
      <c r="V309" s="3"/>
      <c r="W309" s="3"/>
      <c r="X309" s="3"/>
      <c r="Y309" s="3"/>
      <c r="AA309" s="1433"/>
      <c r="AB309" s="1433"/>
      <c r="AC309" s="1433"/>
      <c r="AD309" s="1433"/>
      <c r="AE309" s="1433"/>
      <c r="AF309" s="1433"/>
      <c r="AG309" s="1421"/>
      <c r="AH309" s="1421"/>
      <c r="AI309" s="1421"/>
      <c r="AJ309" s="1421"/>
      <c r="AK309" s="1421"/>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421" t="s">
        <v>2683</v>
      </c>
      <c r="I311" s="1421"/>
      <c r="J311" s="1421"/>
      <c r="K311" s="1421"/>
      <c r="L311" s="1421"/>
      <c r="M311" s="1421"/>
      <c r="N311" s="1421"/>
      <c r="O311" s="1421"/>
      <c r="P311" s="1421"/>
      <c r="Q311" s="1421"/>
      <c r="R311" s="1421"/>
      <c r="S311" s="3"/>
      <c r="T311" s="3" t="s">
        <v>366</v>
      </c>
      <c r="V311" s="3"/>
      <c r="W311" s="3"/>
      <c r="X311" s="3"/>
      <c r="Y311" s="3"/>
      <c r="AA311" s="1416" t="s">
        <v>2711</v>
      </c>
      <c r="AB311" s="1421"/>
      <c r="AC311" s="1421"/>
      <c r="AD311" s="1421"/>
      <c r="AE311" s="1421"/>
      <c r="AF311" s="1421"/>
      <c r="AG311" s="1421"/>
      <c r="AH311" s="1421"/>
      <c r="AI311" s="1421"/>
      <c r="AJ311" s="1421"/>
      <c r="AK311" s="1421"/>
      <c r="BN311" s="34"/>
    </row>
    <row r="312" spans="2:66" ht="13" customHeight="1">
      <c r="B312" s="3" t="s">
        <v>480</v>
      </c>
      <c r="C312" s="3"/>
      <c r="D312" s="3"/>
      <c r="E312" s="3"/>
      <c r="F312" s="3"/>
      <c r="H312" s="1433" t="s">
        <v>2684</v>
      </c>
      <c r="I312" s="1433"/>
      <c r="J312" s="1433"/>
      <c r="K312" s="1433"/>
      <c r="L312" s="1433"/>
      <c r="M312" s="1433"/>
      <c r="N312" s="1433"/>
      <c r="O312" s="1433"/>
      <c r="P312" s="1433"/>
      <c r="Q312" s="1433"/>
      <c r="R312" s="1433"/>
      <c r="S312" s="3"/>
      <c r="T312" s="3" t="s">
        <v>480</v>
      </c>
      <c r="V312" s="3"/>
      <c r="W312" s="3"/>
      <c r="X312" s="3"/>
      <c r="Y312" s="3"/>
      <c r="AA312" s="1563" t="s">
        <v>2715</v>
      </c>
      <c r="AB312" s="1433"/>
      <c r="AC312" s="1433"/>
      <c r="AD312" s="1433"/>
      <c r="AE312" s="1433"/>
      <c r="AF312" s="1433"/>
      <c r="AG312" s="1433"/>
      <c r="AH312" s="1433"/>
      <c r="AI312" s="1433"/>
      <c r="AJ312" s="1433"/>
      <c r="AK312" s="1433"/>
      <c r="BN312" s="34"/>
    </row>
    <row r="313" spans="2:66" ht="13" customHeight="1">
      <c r="B313" s="3" t="s">
        <v>481</v>
      </c>
      <c r="C313" s="3"/>
      <c r="D313" s="3"/>
      <c r="E313" s="3"/>
      <c r="F313" s="3"/>
      <c r="H313" s="1433" t="s">
        <v>2685</v>
      </c>
      <c r="I313" s="1433"/>
      <c r="J313" s="1433"/>
      <c r="K313" s="1433"/>
      <c r="L313" s="1433"/>
      <c r="M313" s="1433"/>
      <c r="N313" s="1433"/>
      <c r="O313" s="1433"/>
      <c r="P313" s="1433"/>
      <c r="Q313" s="1433"/>
      <c r="R313" s="1433"/>
      <c r="S313" s="3"/>
      <c r="T313" s="3" t="s">
        <v>75</v>
      </c>
      <c r="V313" s="3"/>
      <c r="W313" s="3"/>
      <c r="X313" s="3"/>
      <c r="Y313" s="3"/>
      <c r="AA313" s="1563" t="s">
        <v>2700</v>
      </c>
      <c r="AB313" s="1433"/>
      <c r="AC313" s="1433"/>
      <c r="AD313" s="1433"/>
      <c r="AE313" s="1433"/>
      <c r="AF313" s="1433"/>
      <c r="AG313" s="1433"/>
      <c r="AH313" s="1433"/>
      <c r="AI313" s="1433"/>
      <c r="AJ313" s="1433"/>
      <c r="AK313" s="1433"/>
      <c r="BN313" s="34"/>
    </row>
    <row r="314" spans="2:66" ht="13" customHeight="1">
      <c r="B314" s="3" t="s">
        <v>87</v>
      </c>
      <c r="C314" s="3"/>
      <c r="D314" s="3"/>
      <c r="E314" s="3"/>
      <c r="F314" s="3"/>
      <c r="H314" s="1563" t="s">
        <v>2686</v>
      </c>
      <c r="I314" s="1433"/>
      <c r="J314" s="1433"/>
      <c r="K314" s="1433"/>
      <c r="L314" s="1433"/>
      <c r="M314" s="1433"/>
      <c r="N314" s="1433"/>
      <c r="O314" s="1433"/>
      <c r="P314" s="1433"/>
      <c r="Q314" s="1433"/>
      <c r="R314" s="1433"/>
      <c r="S314" s="3"/>
      <c r="T314" s="3" t="s">
        <v>87</v>
      </c>
      <c r="V314" s="3"/>
      <c r="W314" s="3"/>
      <c r="X314" s="3"/>
      <c r="Y314" s="3"/>
      <c r="AA314" s="1563" t="s">
        <v>2712</v>
      </c>
      <c r="AB314" s="1433"/>
      <c r="AC314" s="1433"/>
      <c r="AD314" s="1433"/>
      <c r="AE314" s="1433"/>
      <c r="AF314" s="1433"/>
      <c r="AG314" s="1433"/>
      <c r="AH314" s="1433"/>
      <c r="AI314" s="1433"/>
      <c r="AJ314" s="1433"/>
      <c r="AK314" s="1433"/>
      <c r="BN314" s="34"/>
    </row>
    <row r="315" spans="2:66" ht="13" customHeight="1">
      <c r="B315" s="3" t="s">
        <v>88</v>
      </c>
      <c r="C315" s="3"/>
      <c r="D315" s="3"/>
      <c r="E315" s="3"/>
      <c r="F315" s="3"/>
      <c r="G315" s="3"/>
      <c r="H315" s="1444" t="s">
        <v>2694</v>
      </c>
      <c r="I315" s="1445"/>
      <c r="J315" s="1445"/>
      <c r="K315" s="1445"/>
      <c r="L315" s="1445"/>
      <c r="M315" s="1445"/>
      <c r="N315" s="4" t="s">
        <v>207</v>
      </c>
      <c r="O315" s="4"/>
      <c r="P315" s="1417"/>
      <c r="Q315" s="1417"/>
      <c r="R315" s="1417"/>
      <c r="S315" s="3"/>
      <c r="T315" s="3" t="s">
        <v>88</v>
      </c>
      <c r="V315" s="3"/>
      <c r="W315" s="3"/>
      <c r="X315" s="3"/>
      <c r="Y315" s="3"/>
      <c r="AA315" s="1444" t="s">
        <v>2713</v>
      </c>
      <c r="AB315" s="1445"/>
      <c r="AC315" s="1445"/>
      <c r="AD315" s="1445"/>
      <c r="AE315" s="1445"/>
      <c r="AF315" s="1445"/>
      <c r="AG315" s="4" t="s">
        <v>207</v>
      </c>
      <c r="AH315" s="4"/>
      <c r="AI315" s="1417"/>
      <c r="AJ315" s="1417"/>
      <c r="AK315" s="1417"/>
      <c r="BN315" s="34"/>
    </row>
    <row r="316" spans="2:66" ht="13" customHeight="1">
      <c r="B316" s="3" t="s">
        <v>89</v>
      </c>
      <c r="C316" s="3"/>
      <c r="D316" s="3"/>
      <c r="E316" s="3"/>
      <c r="F316" s="3"/>
      <c r="G316" s="3"/>
      <c r="H316" s="1453"/>
      <c r="I316" s="1453"/>
      <c r="J316" s="1453"/>
      <c r="K316" s="1453"/>
      <c r="L316" s="1453"/>
      <c r="M316" s="1453"/>
      <c r="N316" s="4"/>
      <c r="O316" s="4"/>
      <c r="P316" s="35"/>
      <c r="Q316" s="35"/>
      <c r="R316" s="35"/>
      <c r="S316" s="3"/>
      <c r="T316" s="3" t="s">
        <v>89</v>
      </c>
      <c r="V316" s="3"/>
      <c r="W316" s="3"/>
      <c r="X316" s="3"/>
      <c r="Y316" s="3"/>
      <c r="AA316" s="1453"/>
      <c r="AB316" s="1453"/>
      <c r="AC316" s="1453"/>
      <c r="AD316" s="1453"/>
      <c r="AE316" s="1453"/>
      <c r="AF316" s="1453"/>
      <c r="AG316" s="4"/>
      <c r="AH316" s="4"/>
      <c r="AI316" s="35"/>
      <c r="AJ316" s="35"/>
      <c r="AK316" s="35"/>
      <c r="BN316" s="34"/>
    </row>
    <row r="317" spans="2:66" ht="13" customHeight="1">
      <c r="B317" s="3" t="s">
        <v>76</v>
      </c>
      <c r="C317" s="3"/>
      <c r="D317" s="3"/>
      <c r="E317" s="3"/>
      <c r="F317" s="3"/>
      <c r="G317" s="3"/>
      <c r="H317" s="1563" t="s">
        <v>2695</v>
      </c>
      <c r="I317" s="1433"/>
      <c r="J317" s="1433"/>
      <c r="K317" s="1433"/>
      <c r="L317" s="1433"/>
      <c r="M317" s="1433"/>
      <c r="N317" s="1421"/>
      <c r="O317" s="1421"/>
      <c r="P317" s="1421"/>
      <c r="Q317" s="1421"/>
      <c r="R317" s="1421"/>
      <c r="S317" s="3"/>
      <c r="T317" s="3" t="s">
        <v>76</v>
      </c>
      <c r="V317" s="3"/>
      <c r="W317" s="3"/>
      <c r="X317" s="3"/>
      <c r="Y317" s="3"/>
      <c r="AA317" s="1563" t="s">
        <v>2714</v>
      </c>
      <c r="AB317" s="1433"/>
      <c r="AC317" s="1433"/>
      <c r="AD317" s="1433"/>
      <c r="AE317" s="1433"/>
      <c r="AF317" s="1433"/>
      <c r="AG317" s="1421"/>
      <c r="AH317" s="1421"/>
      <c r="AI317" s="1421"/>
      <c r="AJ317" s="1421"/>
      <c r="AK317" s="1421"/>
      <c r="BN317" s="34"/>
    </row>
    <row r="318" spans="2:66" ht="13" customHeight="1">
      <c r="BN318" s="34"/>
    </row>
    <row r="319" spans="2:66" ht="13" customHeight="1">
      <c r="B319" s="4" t="s">
        <v>924</v>
      </c>
      <c r="C319" s="3"/>
      <c r="D319" s="3"/>
      <c r="E319" s="3"/>
      <c r="F319" s="3"/>
      <c r="H319" s="1416" t="s">
        <v>600</v>
      </c>
      <c r="I319" s="1421"/>
      <c r="J319" s="1421"/>
      <c r="K319" s="1421"/>
      <c r="L319" s="1421"/>
      <c r="M319" s="1421"/>
      <c r="N319" s="1421"/>
      <c r="O319" s="1421"/>
      <c r="P319" s="1421"/>
      <c r="Q319" s="1421"/>
      <c r="R319" s="1421"/>
      <c r="T319" s="3" t="s">
        <v>367</v>
      </c>
      <c r="V319" s="3"/>
      <c r="W319" s="3"/>
      <c r="X319" s="3"/>
      <c r="Y319" s="3"/>
      <c r="AA319" s="1421" t="s">
        <v>2687</v>
      </c>
      <c r="AB319" s="1421"/>
      <c r="AC319" s="1421"/>
      <c r="AD319" s="1421"/>
      <c r="AE319" s="1421"/>
      <c r="AF319" s="1421"/>
      <c r="AG319" s="1421"/>
      <c r="AH319" s="1421"/>
      <c r="AI319" s="1421"/>
      <c r="AJ319" s="1421"/>
      <c r="AK319" s="1421"/>
      <c r="BN319" s="34"/>
    </row>
    <row r="320" spans="2:66" ht="13" customHeight="1">
      <c r="B320" s="3" t="s">
        <v>480</v>
      </c>
      <c r="C320" s="3"/>
      <c r="D320" s="3"/>
      <c r="E320" s="3"/>
      <c r="F320" s="3"/>
      <c r="H320" s="1433"/>
      <c r="I320" s="1433"/>
      <c r="J320" s="1433"/>
      <c r="K320" s="1433"/>
      <c r="L320" s="1433"/>
      <c r="M320" s="1433"/>
      <c r="N320" s="1433"/>
      <c r="O320" s="1433"/>
      <c r="P320" s="1433"/>
      <c r="Q320" s="1433"/>
      <c r="R320" s="1433"/>
      <c r="T320" s="3" t="s">
        <v>480</v>
      </c>
      <c r="V320" s="3"/>
      <c r="W320" s="3"/>
      <c r="X320" s="3"/>
      <c r="Y320" s="3"/>
      <c r="AA320" s="1433" t="s">
        <v>2688</v>
      </c>
      <c r="AB320" s="1433"/>
      <c r="AC320" s="1433"/>
      <c r="AD320" s="1433"/>
      <c r="AE320" s="1433"/>
      <c r="AF320" s="1433"/>
      <c r="AG320" s="1433"/>
      <c r="AH320" s="1433"/>
      <c r="AI320" s="1433"/>
      <c r="AJ320" s="1433"/>
      <c r="AK320" s="1433"/>
      <c r="BN320" s="34"/>
    </row>
    <row r="321" spans="2:66" ht="13" customHeight="1">
      <c r="B321" s="3" t="s">
        <v>481</v>
      </c>
      <c r="C321" s="3"/>
      <c r="D321" s="3"/>
      <c r="E321" s="3"/>
      <c r="F321" s="3"/>
      <c r="H321" s="1433"/>
      <c r="I321" s="1433"/>
      <c r="J321" s="1433"/>
      <c r="K321" s="1433"/>
      <c r="L321" s="1433"/>
      <c r="M321" s="1433"/>
      <c r="N321" s="1433"/>
      <c r="O321" s="1433"/>
      <c r="P321" s="1433"/>
      <c r="Q321" s="1433"/>
      <c r="R321" s="1433"/>
      <c r="T321" s="3" t="s">
        <v>75</v>
      </c>
      <c r="V321" s="3"/>
      <c r="W321" s="3"/>
      <c r="X321" s="3"/>
      <c r="Y321" s="3"/>
      <c r="AA321" s="1433" t="s">
        <v>2689</v>
      </c>
      <c r="AB321" s="1433"/>
      <c r="AC321" s="1433"/>
      <c r="AD321" s="1433"/>
      <c r="AE321" s="1433"/>
      <c r="AF321" s="1433"/>
      <c r="AG321" s="1433"/>
      <c r="AH321" s="1433"/>
      <c r="AI321" s="1433"/>
      <c r="AJ321" s="1433"/>
      <c r="AK321" s="1433"/>
      <c r="BN321" s="34"/>
    </row>
    <row r="322" spans="2:66" ht="13" customHeight="1">
      <c r="B322" s="3" t="s">
        <v>87</v>
      </c>
      <c r="C322" s="3"/>
      <c r="D322" s="3"/>
      <c r="E322" s="3"/>
      <c r="F322" s="3"/>
      <c r="H322" s="1433"/>
      <c r="I322" s="1433"/>
      <c r="J322" s="1433"/>
      <c r="K322" s="1433"/>
      <c r="L322" s="1433"/>
      <c r="M322" s="1433"/>
      <c r="N322" s="1433"/>
      <c r="O322" s="1433"/>
      <c r="P322" s="1433"/>
      <c r="Q322" s="1433"/>
      <c r="R322" s="1433"/>
      <c r="T322" s="3" t="s">
        <v>87</v>
      </c>
      <c r="V322" s="3"/>
      <c r="W322" s="3"/>
      <c r="X322" s="3"/>
      <c r="Y322" s="3"/>
      <c r="AA322" s="1433" t="s">
        <v>2690</v>
      </c>
      <c r="AB322" s="1433"/>
      <c r="AC322" s="1433"/>
      <c r="AD322" s="1433"/>
      <c r="AE322" s="1433"/>
      <c r="AF322" s="1433"/>
      <c r="AG322" s="1433"/>
      <c r="AH322" s="1433"/>
      <c r="AI322" s="1433"/>
      <c r="AJ322" s="1433"/>
      <c r="AK322" s="1433"/>
      <c r="BN322" s="34"/>
    </row>
    <row r="323" spans="2:66" ht="13" customHeight="1">
      <c r="B323" s="3" t="s">
        <v>88</v>
      </c>
      <c r="C323" s="3"/>
      <c r="D323" s="3"/>
      <c r="E323" s="3"/>
      <c r="F323" s="3"/>
      <c r="G323" s="3"/>
      <c r="H323" s="1445"/>
      <c r="I323" s="1445"/>
      <c r="J323" s="1445"/>
      <c r="K323" s="1445"/>
      <c r="L323" s="1445"/>
      <c r="M323" s="1445"/>
      <c r="N323" s="4" t="s">
        <v>207</v>
      </c>
      <c r="O323" s="4"/>
      <c r="P323" s="1417"/>
      <c r="Q323" s="1417"/>
      <c r="R323" s="1417"/>
      <c r="S323" s="3"/>
      <c r="T323" s="3" t="s">
        <v>88</v>
      </c>
      <c r="V323" s="3"/>
      <c r="W323" s="3"/>
      <c r="X323" s="3"/>
      <c r="Y323" s="3"/>
      <c r="AA323" s="1445" t="s">
        <v>2696</v>
      </c>
      <c r="AB323" s="1445"/>
      <c r="AC323" s="1445"/>
      <c r="AD323" s="1445"/>
      <c r="AE323" s="1445"/>
      <c r="AF323" s="1445"/>
      <c r="AG323" s="4" t="s">
        <v>207</v>
      </c>
      <c r="AH323" s="4"/>
      <c r="AI323" s="1417"/>
      <c r="AJ323" s="1417"/>
      <c r="AK323" s="1417"/>
    </row>
    <row r="324" spans="2:66" ht="13" customHeight="1">
      <c r="B324" s="3" t="s">
        <v>89</v>
      </c>
      <c r="C324" s="3"/>
      <c r="D324" s="3"/>
      <c r="E324" s="3"/>
      <c r="F324" s="3"/>
      <c r="G324" s="3"/>
      <c r="H324" s="1453"/>
      <c r="I324" s="1453"/>
      <c r="J324" s="1453"/>
      <c r="K324" s="1453"/>
      <c r="L324" s="1453"/>
      <c r="M324" s="1453"/>
      <c r="N324" s="4"/>
      <c r="O324" s="4"/>
      <c r="P324" s="35"/>
      <c r="Q324" s="35"/>
      <c r="R324" s="35"/>
      <c r="S324" s="3"/>
      <c r="T324" s="3" t="s">
        <v>89</v>
      </c>
      <c r="V324" s="3"/>
      <c r="W324" s="3"/>
      <c r="X324" s="3"/>
      <c r="Y324" s="3"/>
      <c r="AA324" s="1453"/>
      <c r="AB324" s="1453"/>
      <c r="AC324" s="1453"/>
      <c r="AD324" s="1453"/>
      <c r="AE324" s="1453"/>
      <c r="AF324" s="1453"/>
      <c r="AG324" s="4"/>
      <c r="AH324" s="4"/>
      <c r="AI324" s="35"/>
      <c r="AJ324" s="35"/>
      <c r="AK324" s="35"/>
    </row>
    <row r="325" spans="2:66" ht="13" customHeight="1">
      <c r="B325" s="3" t="s">
        <v>76</v>
      </c>
      <c r="C325" s="3"/>
      <c r="D325" s="3"/>
      <c r="E325" s="3"/>
      <c r="F325" s="3"/>
      <c r="G325" s="3"/>
      <c r="H325" s="1433"/>
      <c r="I325" s="1433"/>
      <c r="J325" s="1433"/>
      <c r="K325" s="1433"/>
      <c r="L325" s="1433"/>
      <c r="M325" s="1433"/>
      <c r="N325" s="1421"/>
      <c r="O325" s="1421"/>
      <c r="P325" s="1421"/>
      <c r="Q325" s="1421"/>
      <c r="R325" s="1421"/>
      <c r="S325" s="3"/>
      <c r="T325" s="3" t="s">
        <v>76</v>
      </c>
      <c r="V325" s="3"/>
      <c r="W325" s="3"/>
      <c r="X325" s="3"/>
      <c r="Y325" s="3"/>
      <c r="AA325" s="1433" t="s">
        <v>2697</v>
      </c>
      <c r="AB325" s="1433"/>
      <c r="AC325" s="1433"/>
      <c r="AD325" s="1433"/>
      <c r="AE325" s="1433"/>
      <c r="AF325" s="1433"/>
      <c r="AG325" s="1421"/>
      <c r="AH325" s="1421"/>
      <c r="AI325" s="1421"/>
      <c r="AJ325" s="1421"/>
      <c r="AK325" s="1421"/>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16" t="s">
        <v>600</v>
      </c>
      <c r="I327" s="1421"/>
      <c r="J327" s="1421"/>
      <c r="K327" s="1421"/>
      <c r="L327" s="1421"/>
      <c r="M327" s="1421"/>
      <c r="N327" s="1421"/>
      <c r="O327" s="1421"/>
      <c r="P327" s="1421"/>
      <c r="Q327" s="1421"/>
      <c r="R327" s="1421"/>
      <c r="T327" s="3" t="s">
        <v>369</v>
      </c>
      <c r="V327" s="3"/>
      <c r="W327" s="3"/>
      <c r="X327" s="3"/>
      <c r="Y327" s="3"/>
      <c r="AA327" s="1416" t="s">
        <v>600</v>
      </c>
      <c r="AB327" s="1421"/>
      <c r="AC327" s="1421"/>
      <c r="AD327" s="1421"/>
      <c r="AE327" s="1421"/>
      <c r="AF327" s="1421"/>
      <c r="AG327" s="1421"/>
      <c r="AH327" s="1421"/>
      <c r="AI327" s="1421"/>
      <c r="AJ327" s="1421"/>
      <c r="AK327" s="1421"/>
    </row>
    <row r="328" spans="2:66" ht="13" customHeight="1">
      <c r="B328" s="3" t="s">
        <v>480</v>
      </c>
      <c r="C328" s="3"/>
      <c r="D328" s="3"/>
      <c r="E328" s="3"/>
      <c r="F328" s="3"/>
      <c r="H328" s="1433"/>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3" customHeight="1">
      <c r="B329" s="3" t="s">
        <v>481</v>
      </c>
      <c r="C329" s="3"/>
      <c r="D329" s="3"/>
      <c r="E329" s="3"/>
      <c r="F329" s="3"/>
      <c r="H329" s="1433"/>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3" customHeight="1">
      <c r="B330" s="3" t="s">
        <v>87</v>
      </c>
      <c r="C330" s="3"/>
      <c r="D330" s="3"/>
      <c r="E330" s="3"/>
      <c r="F330" s="3"/>
      <c r="H330" s="1433"/>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3" customHeight="1">
      <c r="B331" s="3" t="s">
        <v>88</v>
      </c>
      <c r="C331" s="3"/>
      <c r="D331" s="3"/>
      <c r="E331" s="3"/>
      <c r="F331" s="3"/>
      <c r="G331" s="3"/>
      <c r="H331" s="1445"/>
      <c r="I331" s="1445"/>
      <c r="J331" s="1445"/>
      <c r="K331" s="1445"/>
      <c r="L331" s="1445"/>
      <c r="M331" s="1445"/>
      <c r="N331" s="4" t="s">
        <v>207</v>
      </c>
      <c r="O331" s="4"/>
      <c r="P331" s="1417"/>
      <c r="Q331" s="1417"/>
      <c r="R331" s="1417"/>
      <c r="S331" s="3"/>
      <c r="T331" s="3" t="s">
        <v>88</v>
      </c>
      <c r="V331" s="3"/>
      <c r="W331" s="3"/>
      <c r="X331" s="3"/>
      <c r="Y331" s="3"/>
      <c r="AA331" s="1445"/>
      <c r="AB331" s="1445"/>
      <c r="AC331" s="1445"/>
      <c r="AD331" s="1445"/>
      <c r="AE331" s="1445"/>
      <c r="AF331" s="1445"/>
      <c r="AG331" s="4" t="s">
        <v>207</v>
      </c>
      <c r="AH331" s="4"/>
      <c r="AI331" s="1417"/>
      <c r="AJ331" s="1417"/>
      <c r="AK331" s="1417"/>
    </row>
    <row r="332" spans="2:66" ht="13" customHeight="1">
      <c r="B332" s="3" t="s">
        <v>89</v>
      </c>
      <c r="C332" s="3"/>
      <c r="D332" s="3"/>
      <c r="E332" s="3"/>
      <c r="F332" s="3"/>
      <c r="G332" s="3"/>
      <c r="H332" s="1453"/>
      <c r="I332" s="1453"/>
      <c r="J332" s="1453"/>
      <c r="K332" s="1453"/>
      <c r="L332" s="1453"/>
      <c r="M332" s="1453"/>
      <c r="N332" s="4"/>
      <c r="O332" s="4"/>
      <c r="P332" s="35"/>
      <c r="Q332" s="35"/>
      <c r="R332" s="35"/>
      <c r="S332" s="3"/>
      <c r="T332" s="3" t="s">
        <v>89</v>
      </c>
      <c r="V332" s="3"/>
      <c r="W332" s="3"/>
      <c r="X332" s="3"/>
      <c r="Y332" s="3"/>
      <c r="AA332" s="1453"/>
      <c r="AB332" s="1453"/>
      <c r="AC332" s="1453"/>
      <c r="AD332" s="1453"/>
      <c r="AE332" s="1453"/>
      <c r="AF332" s="1453"/>
      <c r="AG332" s="4"/>
      <c r="AH332" s="4"/>
      <c r="AI332" s="35"/>
      <c r="AJ332" s="35"/>
      <c r="AK332" s="35"/>
    </row>
    <row r="333" spans="2:66" ht="13" customHeight="1">
      <c r="B333" s="3" t="s">
        <v>76</v>
      </c>
      <c r="C333" s="3"/>
      <c r="D333" s="3"/>
      <c r="E333" s="3"/>
      <c r="F333" s="3"/>
      <c r="G333" s="3"/>
      <c r="H333" s="1433"/>
      <c r="I333" s="1433"/>
      <c r="J333" s="1433"/>
      <c r="K333" s="1433"/>
      <c r="L333" s="1433"/>
      <c r="M333" s="1433"/>
      <c r="N333" s="1421"/>
      <c r="O333" s="1421"/>
      <c r="P333" s="1421"/>
      <c r="Q333" s="1421"/>
      <c r="R333" s="1421"/>
      <c r="S333" s="3"/>
      <c r="T333" s="3" t="s">
        <v>76</v>
      </c>
      <c r="V333" s="3"/>
      <c r="W333" s="3"/>
      <c r="X333" s="3"/>
      <c r="Y333" s="3"/>
      <c r="AA333" s="1433"/>
      <c r="AB333" s="1433"/>
      <c r="AC333" s="1433"/>
      <c r="AD333" s="1433"/>
      <c r="AE333" s="1433"/>
      <c r="AF333" s="1433"/>
      <c r="AG333" s="1421"/>
      <c r="AH333" s="1421"/>
      <c r="AI333" s="1421"/>
      <c r="AJ333" s="1421"/>
      <c r="AK333" s="1421"/>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16" t="s">
        <v>2698</v>
      </c>
      <c r="I335" s="1421"/>
      <c r="J335" s="1421"/>
      <c r="K335" s="1421"/>
      <c r="L335" s="1421"/>
      <c r="M335" s="1421"/>
      <c r="N335" s="1421"/>
      <c r="O335" s="1421"/>
      <c r="P335" s="1421"/>
      <c r="Q335" s="1421"/>
      <c r="R335" s="1421"/>
      <c r="T335" s="218" t="s">
        <v>900</v>
      </c>
      <c r="V335" s="3"/>
      <c r="W335" s="3"/>
      <c r="X335" s="3"/>
      <c r="Y335" s="3"/>
      <c r="AA335" s="1416" t="s">
        <v>2705</v>
      </c>
      <c r="AB335" s="1421"/>
      <c r="AC335" s="1421"/>
      <c r="AD335" s="1421"/>
      <c r="AE335" s="1421"/>
      <c r="AF335" s="1421"/>
      <c r="AG335" s="1421"/>
      <c r="AH335" s="1421"/>
      <c r="AI335" s="1421"/>
      <c r="AJ335" s="1421"/>
      <c r="AK335" s="1421"/>
    </row>
    <row r="336" spans="2:66" ht="13" customHeight="1">
      <c r="B336" s="3" t="s">
        <v>480</v>
      </c>
      <c r="C336" s="3"/>
      <c r="D336" s="3"/>
      <c r="E336" s="3"/>
      <c r="F336" s="3"/>
      <c r="H336" s="1563" t="s">
        <v>2699</v>
      </c>
      <c r="I336" s="1433"/>
      <c r="J336" s="1433"/>
      <c r="K336" s="1433"/>
      <c r="L336" s="1433"/>
      <c r="M336" s="1433"/>
      <c r="N336" s="1433"/>
      <c r="O336" s="1433"/>
      <c r="P336" s="1433"/>
      <c r="Q336" s="1433"/>
      <c r="R336" s="1433"/>
      <c r="T336" s="3" t="s">
        <v>480</v>
      </c>
      <c r="V336" s="3"/>
      <c r="W336" s="3"/>
      <c r="X336" s="3"/>
      <c r="Y336" s="3"/>
      <c r="AA336" s="1563" t="s">
        <v>2706</v>
      </c>
      <c r="AB336" s="1433"/>
      <c r="AC336" s="1433"/>
      <c r="AD336" s="1433"/>
      <c r="AE336" s="1433"/>
      <c r="AF336" s="1433"/>
      <c r="AG336" s="1433"/>
      <c r="AH336" s="1433"/>
      <c r="AI336" s="1433"/>
      <c r="AJ336" s="1433"/>
      <c r="AK336" s="1433"/>
    </row>
    <row r="337" spans="1:66" ht="13" customHeight="1">
      <c r="B337" s="3" t="s">
        <v>75</v>
      </c>
      <c r="C337" s="3"/>
      <c r="D337" s="3"/>
      <c r="E337" s="3"/>
      <c r="F337" s="3"/>
      <c r="H337" s="1563" t="s">
        <v>2700</v>
      </c>
      <c r="I337" s="1433"/>
      <c r="J337" s="1433"/>
      <c r="K337" s="1433"/>
      <c r="L337" s="1433"/>
      <c r="M337" s="1433"/>
      <c r="N337" s="1433"/>
      <c r="O337" s="1433"/>
      <c r="P337" s="1433"/>
      <c r="Q337" s="1433"/>
      <c r="R337" s="1433"/>
      <c r="T337" s="3" t="s">
        <v>75</v>
      </c>
      <c r="V337" s="3"/>
      <c r="W337" s="3"/>
      <c r="X337" s="3"/>
      <c r="Y337" s="3"/>
      <c r="AA337" s="1563" t="s">
        <v>2707</v>
      </c>
      <c r="AB337" s="1433"/>
      <c r="AC337" s="1433"/>
      <c r="AD337" s="1433"/>
      <c r="AE337" s="1433"/>
      <c r="AF337" s="1433"/>
      <c r="AG337" s="1433"/>
      <c r="AH337" s="1433"/>
      <c r="AI337" s="1433"/>
      <c r="AJ337" s="1433"/>
      <c r="AK337" s="1433"/>
    </row>
    <row r="338" spans="1:66" ht="13" customHeight="1">
      <c r="B338" s="3" t="s">
        <v>87</v>
      </c>
      <c r="C338" s="3"/>
      <c r="D338" s="3"/>
      <c r="E338" s="3"/>
      <c r="F338" s="3"/>
      <c r="G338" s="3"/>
      <c r="H338" s="1563" t="s">
        <v>2701</v>
      </c>
      <c r="I338" s="1433"/>
      <c r="J338" s="1433"/>
      <c r="K338" s="1433"/>
      <c r="L338" s="1433"/>
      <c r="M338" s="1433"/>
      <c r="N338" s="1433"/>
      <c r="O338" s="1433"/>
      <c r="P338" s="1433"/>
      <c r="Q338" s="1433"/>
      <c r="R338" s="1433"/>
      <c r="T338" s="3" t="s">
        <v>87</v>
      </c>
      <c r="V338" s="3"/>
      <c r="W338" s="3"/>
      <c r="X338" s="3"/>
      <c r="Y338" s="3"/>
      <c r="AA338" s="1563" t="s">
        <v>2708</v>
      </c>
      <c r="AB338" s="1433"/>
      <c r="AC338" s="1433"/>
      <c r="AD338" s="1433"/>
      <c r="AE338" s="1433"/>
      <c r="AF338" s="1433"/>
      <c r="AG338" s="1433"/>
      <c r="AH338" s="1433"/>
      <c r="AI338" s="1433"/>
      <c r="AJ338" s="1433"/>
      <c r="AK338" s="1433"/>
    </row>
    <row r="339" spans="1:66" ht="13" customHeight="1">
      <c r="B339" s="3" t="s">
        <v>88</v>
      </c>
      <c r="C339" s="3"/>
      <c r="D339" s="3"/>
      <c r="E339" s="3"/>
      <c r="F339" s="3"/>
      <c r="G339" s="3"/>
      <c r="H339" s="1444" t="s">
        <v>2702</v>
      </c>
      <c r="I339" s="1445"/>
      <c r="J339" s="1445"/>
      <c r="K339" s="1445"/>
      <c r="L339" s="1445"/>
      <c r="M339" s="1445"/>
      <c r="N339" s="4" t="s">
        <v>207</v>
      </c>
      <c r="O339" s="4"/>
      <c r="P339" s="1417"/>
      <c r="Q339" s="1417"/>
      <c r="R339" s="1417"/>
      <c r="S339" s="3"/>
      <c r="T339" s="3" t="s">
        <v>88</v>
      </c>
      <c r="V339" s="3"/>
      <c r="W339" s="3"/>
      <c r="X339" s="3"/>
      <c r="Y339" s="3"/>
      <c r="AA339" s="1444" t="s">
        <v>2709</v>
      </c>
      <c r="AB339" s="1445"/>
      <c r="AC339" s="1445"/>
      <c r="AD339" s="1445"/>
      <c r="AE339" s="1445"/>
      <c r="AF339" s="1445"/>
      <c r="AG339" s="4" t="s">
        <v>207</v>
      </c>
      <c r="AH339" s="4"/>
      <c r="AI339" s="1417">
        <v>233</v>
      </c>
      <c r="AJ339" s="1417"/>
      <c r="AK339" s="1417"/>
    </row>
    <row r="340" spans="1:66" ht="13" customHeight="1">
      <c r="B340" s="3" t="s">
        <v>89</v>
      </c>
      <c r="C340" s="3"/>
      <c r="D340" s="3"/>
      <c r="E340" s="3"/>
      <c r="F340" s="3"/>
      <c r="G340" s="3"/>
      <c r="H340" s="1452" t="s">
        <v>2703</v>
      </c>
      <c r="I340" s="1453"/>
      <c r="J340" s="1453"/>
      <c r="K340" s="1453"/>
      <c r="L340" s="1453"/>
      <c r="M340" s="1453"/>
      <c r="N340" s="4"/>
      <c r="O340" s="4"/>
      <c r="P340" s="35"/>
      <c r="Q340" s="35"/>
      <c r="R340" s="35"/>
      <c r="S340" s="3"/>
      <c r="T340" s="3" t="s">
        <v>89</v>
      </c>
      <c r="V340" s="3"/>
      <c r="W340" s="3"/>
      <c r="X340" s="3"/>
      <c r="Y340" s="3"/>
      <c r="AA340" s="1453"/>
      <c r="AB340" s="1453"/>
      <c r="AC340" s="1453"/>
      <c r="AD340" s="1453"/>
      <c r="AE340" s="1453"/>
      <c r="AF340" s="1453"/>
      <c r="AG340" s="4"/>
      <c r="AH340" s="4"/>
      <c r="AI340" s="35"/>
      <c r="AJ340" s="35"/>
      <c r="AK340" s="35"/>
    </row>
    <row r="341" spans="1:66" ht="13" customHeight="1">
      <c r="B341" s="3" t="s">
        <v>76</v>
      </c>
      <c r="C341" s="3"/>
      <c r="D341" s="3"/>
      <c r="E341" s="3"/>
      <c r="F341" s="3"/>
      <c r="G341" s="3"/>
      <c r="H341" s="1563" t="s">
        <v>2704</v>
      </c>
      <c r="I341" s="1433"/>
      <c r="J341" s="1433"/>
      <c r="K341" s="1433"/>
      <c r="L341" s="1433"/>
      <c r="M341" s="1433"/>
      <c r="N341" s="1421"/>
      <c r="O341" s="1421"/>
      <c r="P341" s="1421"/>
      <c r="Q341" s="1421"/>
      <c r="R341" s="1421"/>
      <c r="S341" s="3"/>
      <c r="T341" s="3" t="s">
        <v>76</v>
      </c>
      <c r="V341" s="3"/>
      <c r="W341" s="3"/>
      <c r="X341" s="3"/>
      <c r="Y341" s="3"/>
      <c r="AA341" s="1563" t="s">
        <v>2710</v>
      </c>
      <c r="AB341" s="1433"/>
      <c r="AC341" s="1433"/>
      <c r="AD341" s="1433"/>
      <c r="AE341" s="1433"/>
      <c r="AF341" s="1433"/>
      <c r="AG341" s="1421"/>
      <c r="AH341" s="1421"/>
      <c r="AI341" s="1421"/>
      <c r="AJ341" s="1421"/>
      <c r="AK341" s="1421"/>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421"/>
      <c r="Q343" s="1421"/>
      <c r="R343" s="1421"/>
      <c r="S343" s="1421"/>
      <c r="T343" s="1421"/>
      <c r="U343" s="1421"/>
      <c r="V343" s="1421"/>
      <c r="W343" s="1421"/>
      <c r="X343" s="1421"/>
      <c r="Y343" s="1421"/>
      <c r="Z343" s="1421"/>
      <c r="AA343" s="1421"/>
      <c r="AB343" s="1421"/>
      <c r="AC343" s="1421"/>
      <c r="AD343" s="1421"/>
      <c r="AE343" s="1421"/>
      <c r="BN343" t="s">
        <v>678</v>
      </c>
    </row>
    <row r="344" spans="1:66" ht="13"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3"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3"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3" customHeight="1">
      <c r="B347" s="4"/>
      <c r="C347" s="4"/>
      <c r="D347" s="4"/>
      <c r="E347" s="4"/>
      <c r="F347" s="4"/>
      <c r="G347" s="4"/>
      <c r="H347" s="324"/>
      <c r="I347" s="4" t="s">
        <v>88</v>
      </c>
      <c r="P347" s="1453"/>
      <c r="Q347" s="1453"/>
      <c r="R347" s="1453"/>
      <c r="S347" s="1453"/>
      <c r="T347" s="1453"/>
      <c r="U347" s="1453"/>
      <c r="V347" s="1453"/>
      <c r="W347" s="1453"/>
      <c r="X347" s="1453"/>
      <c r="Y347" s="1453"/>
      <c r="Z347" s="1453"/>
      <c r="AA347" s="4" t="s">
        <v>207</v>
      </c>
      <c r="AB347" s="4"/>
      <c r="AC347" s="1419"/>
      <c r="AD347" s="1419"/>
      <c r="AE347" s="1419"/>
      <c r="AF347" s="324"/>
      <c r="AG347" s="4"/>
      <c r="AH347" s="4"/>
      <c r="AI347" s="4"/>
      <c r="AJ347" s="4"/>
      <c r="AK347" s="4"/>
    </row>
    <row r="348" spans="1:66" ht="13" customHeight="1">
      <c r="B348" s="4"/>
      <c r="C348" s="4"/>
      <c r="D348" s="4"/>
      <c r="E348" s="4"/>
      <c r="F348" s="4"/>
      <c r="G348" s="4"/>
      <c r="H348" s="324"/>
      <c r="I348" s="4" t="s">
        <v>89</v>
      </c>
      <c r="P348" s="1453"/>
      <c r="Q348" s="1453"/>
      <c r="R348" s="1453"/>
      <c r="S348" s="1453"/>
      <c r="T348" s="1453"/>
      <c r="U348" s="1453"/>
      <c r="V348" s="1453"/>
      <c r="W348" s="1453"/>
      <c r="X348" s="1453"/>
      <c r="Y348" s="1453"/>
      <c r="Z348" s="1453"/>
      <c r="AF348" s="324"/>
      <c r="AG348" s="4"/>
      <c r="AH348" s="4"/>
      <c r="AI348" s="35"/>
      <c r="AJ348" s="35"/>
      <c r="AK348" s="35"/>
    </row>
    <row r="349" spans="1:66" ht="13" customHeight="1">
      <c r="B349" s="4"/>
      <c r="C349" s="4"/>
      <c r="D349" s="4"/>
      <c r="E349" s="4"/>
      <c r="F349" s="4"/>
      <c r="G349" s="4"/>
      <c r="I349" s="4" t="s">
        <v>76</v>
      </c>
      <c r="P349" s="1421"/>
      <c r="Q349" s="1421"/>
      <c r="R349" s="1421"/>
      <c r="S349" s="1421"/>
      <c r="T349" s="1421"/>
      <c r="U349" s="1421"/>
      <c r="V349" s="1421"/>
      <c r="W349" s="1421"/>
      <c r="X349" s="1421"/>
      <c r="Y349" s="1421"/>
      <c r="Z349" s="1421"/>
      <c r="AA349" s="1421"/>
      <c r="AB349" s="1421"/>
      <c r="AC349" s="1421"/>
      <c r="AD349" s="1421"/>
      <c r="AE349" s="1421"/>
    </row>
    <row r="350" spans="1:66" ht="13" customHeight="1">
      <c r="T350" s="8"/>
      <c r="U350" s="8"/>
      <c r="V350" s="8"/>
      <c r="W350" s="8"/>
      <c r="X350" s="8"/>
      <c r="Y350" s="8"/>
      <c r="Z350" s="8"/>
      <c r="AU350" s="95"/>
      <c r="AV350" s="95"/>
      <c r="AW350" s="95"/>
      <c r="AX350" s="95"/>
      <c r="AY350" s="95"/>
    </row>
    <row r="351" spans="1:66" ht="13" customHeight="1">
      <c r="A351" s="1443" t="s">
        <v>551</v>
      </c>
      <c r="B351" s="1443"/>
      <c r="C351" s="1443"/>
      <c r="D351" s="1443"/>
      <c r="E351" s="1443"/>
      <c r="F351" s="1443"/>
      <c r="G351" s="1443"/>
      <c r="H351" s="1443"/>
      <c r="I351" s="1443"/>
      <c r="J351" s="1443"/>
      <c r="K351" s="1443"/>
      <c r="L351" s="1443"/>
      <c r="M351" s="1443"/>
      <c r="N351" s="1443"/>
      <c r="O351" s="1443"/>
      <c r="P351" s="1443"/>
      <c r="Q351" s="1443"/>
      <c r="R351" s="1443"/>
      <c r="S351" s="1443"/>
      <c r="T351" s="1443"/>
      <c r="U351" s="1443"/>
      <c r="V351" s="1443"/>
      <c r="W351" s="1443"/>
      <c r="X351" s="1443"/>
      <c r="Y351" s="1443"/>
      <c r="Z351" s="1443"/>
      <c r="AA351" s="1443"/>
      <c r="AB351" s="1443"/>
      <c r="AC351" s="1443"/>
      <c r="AD351" s="1443"/>
      <c r="AE351" s="1443"/>
      <c r="AF351" s="1443"/>
      <c r="AG351" s="1443"/>
      <c r="AH351" s="1443"/>
      <c r="AI351" s="1443"/>
      <c r="AJ351" s="1443"/>
      <c r="AK351" s="1443"/>
      <c r="AL351" s="1443"/>
      <c r="AM351" s="1443"/>
      <c r="AN351" s="1443"/>
      <c r="AO351" s="1443"/>
      <c r="AP351" s="1443"/>
      <c r="AQ351" s="1443"/>
      <c r="AR351" s="1443"/>
      <c r="AS351" s="1443"/>
      <c r="AT351" s="1443"/>
      <c r="AU351" s="95"/>
      <c r="AV351" s="95"/>
      <c r="AW351" s="95"/>
      <c r="AX351" s="95"/>
      <c r="AY351" s="95"/>
    </row>
    <row r="352" spans="1:66" ht="13" customHeight="1">
      <c r="A352" s="1443"/>
      <c r="B352" s="1443"/>
      <c r="C352" s="1443"/>
      <c r="D352" s="1443"/>
      <c r="E352" s="1443"/>
      <c r="F352" s="1443"/>
      <c r="G352" s="1443"/>
      <c r="H352" s="1443"/>
      <c r="I352" s="1443"/>
      <c r="J352" s="1443"/>
      <c r="K352" s="1443"/>
      <c r="L352" s="1443"/>
      <c r="M352" s="1443"/>
      <c r="N352" s="1443"/>
      <c r="O352" s="1443"/>
      <c r="P352" s="1443"/>
      <c r="Q352" s="1443"/>
      <c r="R352" s="1443"/>
      <c r="S352" s="1443"/>
      <c r="T352" s="1443"/>
      <c r="U352" s="1443"/>
      <c r="V352" s="1443"/>
      <c r="W352" s="1443"/>
      <c r="X352" s="1443"/>
      <c r="Y352" s="1443"/>
      <c r="Z352" s="1443"/>
      <c r="AA352" s="1443"/>
      <c r="AB352" s="1443"/>
      <c r="AC352" s="1443"/>
      <c r="AD352" s="1443"/>
      <c r="AE352" s="1443"/>
      <c r="AF352" s="1443"/>
      <c r="AG352" s="1443"/>
      <c r="AH352" s="1443"/>
      <c r="AI352" s="1443"/>
      <c r="AJ352" s="1443"/>
      <c r="AK352" s="1443"/>
      <c r="AL352" s="1443"/>
      <c r="AM352" s="1443"/>
      <c r="AN352" s="1443"/>
      <c r="AO352" s="1443"/>
      <c r="AP352" s="1443"/>
      <c r="AQ352" s="1443"/>
      <c r="AR352" s="1443"/>
      <c r="AS352" s="1443"/>
      <c r="AT352" s="144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2417</v>
      </c>
      <c r="M355" s="1429" t="s">
        <v>554</v>
      </c>
      <c r="N355" s="1429"/>
      <c r="P355" t="s">
        <v>1763</v>
      </c>
      <c r="AJ355" s="1429" t="s">
        <v>600</v>
      </c>
      <c r="AK355" s="1429"/>
    </row>
    <row r="356" spans="1:46" ht="13" customHeight="1">
      <c r="D356" s="3" t="s">
        <v>1752</v>
      </c>
      <c r="M356" s="1429" t="s">
        <v>600</v>
      </c>
      <c r="N356" s="1429"/>
      <c r="P356" s="3" t="s">
        <v>1909</v>
      </c>
      <c r="AJ356" s="1424"/>
      <c r="AK356" s="1424"/>
    </row>
    <row r="357" spans="1:46" ht="13" customHeight="1">
      <c r="D357" s="3" t="s">
        <v>714</v>
      </c>
      <c r="M357" s="1429" t="s">
        <v>600</v>
      </c>
      <c r="N357" s="1429"/>
      <c r="P357" t="s">
        <v>1762</v>
      </c>
      <c r="AJ357" s="1429" t="s">
        <v>600</v>
      </c>
      <c r="AK357" s="1429"/>
    </row>
    <row r="358" spans="1:46" ht="13" customHeight="1">
      <c r="D358" s="3" t="s">
        <v>715</v>
      </c>
      <c r="M358" s="1429" t="s">
        <v>600</v>
      </c>
      <c r="N358" s="1429"/>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29" t="s">
        <v>600</v>
      </c>
      <c r="O363" s="1429"/>
      <c r="P363" s="40"/>
      <c r="Q363" s="40"/>
      <c r="R363" s="40"/>
      <c r="S363" s="40"/>
      <c r="T363" s="40"/>
      <c r="U363" s="40"/>
      <c r="V363" s="40"/>
      <c r="W363" s="40"/>
      <c r="X363" s="40"/>
      <c r="Y363" s="40"/>
      <c r="Z363" s="40"/>
      <c r="AC363" s="40"/>
      <c r="AD363" s="40"/>
      <c r="AE363" s="40"/>
    </row>
    <row r="364" spans="1:46" ht="13" customHeight="1">
      <c r="E364" t="s">
        <v>371</v>
      </c>
      <c r="Y364" s="1429" t="s">
        <v>600</v>
      </c>
      <c r="Z364" s="1429"/>
    </row>
    <row r="365" spans="1:46" ht="13" customHeight="1">
      <c r="D365" s="4" t="s">
        <v>998</v>
      </c>
      <c r="Q365" s="1421"/>
      <c r="R365" s="1421"/>
      <c r="S365" s="1421"/>
      <c r="T365" s="1421"/>
      <c r="U365" s="1421"/>
      <c r="V365" s="1421"/>
      <c r="W365" s="1421"/>
      <c r="X365" s="1421"/>
      <c r="Y365" s="1421"/>
      <c r="Z365" s="1421"/>
      <c r="AA365" s="1421"/>
      <c r="AB365" s="1421"/>
      <c r="AC365" s="1421"/>
      <c r="AD365" s="1421"/>
      <c r="AE365" s="1421"/>
      <c r="AF365" s="1421"/>
      <c r="AG365" s="1421"/>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29" t="s">
        <v>600</v>
      </c>
      <c r="K367" s="1429"/>
      <c r="L367" s="40"/>
      <c r="M367" s="40"/>
      <c r="N367" s="40"/>
      <c r="O367" s="40"/>
      <c r="P367" s="40"/>
      <c r="Q367" s="40"/>
      <c r="R367" s="40"/>
      <c r="S367" s="40"/>
      <c r="T367" s="40"/>
      <c r="U367" s="40"/>
      <c r="V367" s="40"/>
      <c r="W367" s="40"/>
      <c r="X367" s="40"/>
      <c r="Y367" s="40"/>
      <c r="Z367" s="40"/>
      <c r="AC367" s="40"/>
      <c r="AD367" s="40"/>
      <c r="AE367" s="40"/>
    </row>
    <row r="368" spans="1:46" ht="13" customHeight="1">
      <c r="E368" s="1415" t="s">
        <v>716</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3"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3" customHeight="1">
      <c r="E370" s="4" t="s">
        <v>457</v>
      </c>
      <c r="F370" s="4"/>
      <c r="G370" s="4"/>
      <c r="H370" s="4"/>
      <c r="I370" s="4"/>
      <c r="J370" s="4"/>
      <c r="K370" s="4"/>
      <c r="L370" s="4"/>
      <c r="N370" s="1693"/>
      <c r="O370" s="1693"/>
      <c r="P370" s="1693"/>
      <c r="Q370" s="1693"/>
      <c r="R370" s="4"/>
      <c r="U370" s="4" t="s">
        <v>458</v>
      </c>
      <c r="V370" s="4"/>
      <c r="W370" s="4"/>
      <c r="X370" s="4"/>
      <c r="Y370" s="4"/>
      <c r="Z370" s="4"/>
      <c r="AA370" s="4"/>
      <c r="AB370" s="4"/>
      <c r="AC370" s="1693"/>
      <c r="AD370" s="1693"/>
      <c r="AE370" s="1693"/>
      <c r="AF370" s="1693"/>
    </row>
    <row r="371" spans="1:34" ht="13" customHeight="1">
      <c r="E371" s="4" t="s">
        <v>459</v>
      </c>
      <c r="F371" s="4"/>
      <c r="G371" s="4"/>
      <c r="H371" s="4"/>
      <c r="I371" s="4"/>
      <c r="J371" s="4"/>
      <c r="K371" s="4"/>
      <c r="L371" s="4"/>
      <c r="N371" s="1693"/>
      <c r="O371" s="1693"/>
      <c r="P371" s="1693"/>
      <c r="Q371" s="1693"/>
      <c r="R371" s="4"/>
      <c r="U371" s="4" t="s">
        <v>0</v>
      </c>
      <c r="V371" s="4"/>
      <c r="W371" s="4"/>
      <c r="X371" s="4"/>
      <c r="Y371" s="4"/>
      <c r="Z371" s="4"/>
      <c r="AA371" s="4"/>
      <c r="AB371" s="4"/>
      <c r="AC371" s="1693"/>
      <c r="AD371" s="1693"/>
      <c r="AE371" s="1693"/>
      <c r="AF371" s="1693"/>
    </row>
    <row r="372" spans="1:34" ht="13" customHeight="1">
      <c r="E372" s="4" t="s">
        <v>1</v>
      </c>
      <c r="F372" s="4"/>
      <c r="G372" s="4"/>
      <c r="H372" s="4"/>
      <c r="I372" s="4"/>
      <c r="J372" s="4"/>
      <c r="K372" s="4"/>
      <c r="L372" s="4"/>
      <c r="N372" s="1693"/>
      <c r="O372" s="1693"/>
      <c r="P372" s="1693"/>
      <c r="Q372" s="1693"/>
      <c r="R372" s="4"/>
      <c r="V372" s="4"/>
      <c r="W372" s="4"/>
      <c r="X372" s="4"/>
      <c r="Y372" s="4"/>
      <c r="Z372" s="4"/>
      <c r="AA372" s="4"/>
      <c r="AB372" s="4"/>
    </row>
    <row r="373" spans="1:34" ht="13" customHeight="1">
      <c r="E373" s="4" t="s">
        <v>2</v>
      </c>
      <c r="F373" s="4"/>
      <c r="G373" s="4"/>
      <c r="H373" s="4"/>
      <c r="I373" s="4"/>
      <c r="J373" s="4"/>
      <c r="K373" s="4"/>
      <c r="L373" s="4"/>
      <c r="N373" s="1828"/>
      <c r="O373" s="1828"/>
      <c r="P373" s="1828"/>
      <c r="Q373" s="1828"/>
      <c r="R373" s="1828"/>
      <c r="S373" s="1828"/>
      <c r="T373" s="1828"/>
      <c r="U373" s="1828"/>
      <c r="V373" s="1828"/>
      <c r="W373" s="1828"/>
      <c r="X373" s="1828"/>
      <c r="Y373" s="1828"/>
      <c r="Z373" s="1828"/>
      <c r="AA373" s="1828"/>
      <c r="AB373" s="1828"/>
      <c r="AC373" s="1828"/>
      <c r="AD373" s="1828"/>
      <c r="AE373" s="1828"/>
      <c r="AF373" s="1828"/>
    </row>
    <row r="374" spans="1:34" ht="13" customHeight="1">
      <c r="E374" s="4"/>
      <c r="F374" s="4"/>
      <c r="G374" s="4"/>
      <c r="H374" s="4"/>
      <c r="I374" s="4"/>
      <c r="J374" s="4"/>
      <c r="K374" s="4"/>
      <c r="L374" s="4"/>
      <c r="N374" s="1829"/>
      <c r="O374" s="1829"/>
      <c r="P374" s="1829"/>
      <c r="Q374" s="1829"/>
      <c r="R374" s="1829"/>
      <c r="S374" s="1829"/>
      <c r="T374" s="1829"/>
      <c r="U374" s="1829"/>
      <c r="V374" s="1829"/>
      <c r="W374" s="1829"/>
      <c r="X374" s="1829"/>
      <c r="Y374" s="1829"/>
      <c r="Z374" s="1829"/>
      <c r="AA374" s="1829"/>
      <c r="AB374" s="1829"/>
      <c r="AC374" s="1829"/>
      <c r="AD374" s="1829"/>
      <c r="AE374" s="1829"/>
      <c r="AF374" s="1829"/>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2401</v>
      </c>
      <c r="F377" s="4"/>
      <c r="G377" s="4"/>
      <c r="H377" s="4"/>
      <c r="I377" s="4"/>
      <c r="J377" s="4"/>
      <c r="K377" s="4"/>
      <c r="L377" s="4"/>
      <c r="N377" t="s">
        <v>2396</v>
      </c>
      <c r="R377" s="27" t="s">
        <v>306</v>
      </c>
      <c r="S377" s="1692"/>
      <c r="T377" s="1692"/>
      <c r="U377" s="1" t="s">
        <v>307</v>
      </c>
      <c r="V377" s="1692"/>
      <c r="W377" s="1692"/>
      <c r="Y377" t="s">
        <v>2396</v>
      </c>
      <c r="AC377" s="27" t="s">
        <v>306</v>
      </c>
      <c r="AD377" s="1692"/>
      <c r="AE377" s="1692"/>
      <c r="AF377" s="1" t="s">
        <v>307</v>
      </c>
      <c r="AG377" s="1692"/>
      <c r="AH377" s="1692"/>
    </row>
    <row r="378" spans="1:34" ht="13" customHeight="1">
      <c r="E378" s="4" t="s">
        <v>1012</v>
      </c>
      <c r="F378" s="4"/>
      <c r="G378" s="4"/>
      <c r="H378" s="4"/>
      <c r="I378" s="4"/>
      <c r="J378" s="4"/>
      <c r="K378" s="4"/>
      <c r="L378" s="4"/>
      <c r="N378" s="1692"/>
      <c r="O378" s="1692"/>
      <c r="P378" s="1692"/>
    </row>
    <row r="379" spans="1:34" ht="13" customHeight="1">
      <c r="E379" s="218" t="s">
        <v>2402</v>
      </c>
      <c r="F379" s="4"/>
      <c r="G379" s="4"/>
      <c r="H379" s="4"/>
      <c r="I379" s="4"/>
      <c r="J379" s="4"/>
      <c r="K379" s="4"/>
      <c r="L379" s="4"/>
      <c r="AG379" s="1698" t="s">
        <v>600</v>
      </c>
      <c r="AH379" s="1698"/>
    </row>
    <row r="380" spans="1:34" ht="13" customHeight="1">
      <c r="E380" s="4"/>
      <c r="F380" s="4"/>
      <c r="G380" s="4" t="s">
        <v>2403</v>
      </c>
      <c r="H380" s="4"/>
      <c r="I380" s="4"/>
      <c r="J380" s="4"/>
      <c r="K380" s="4"/>
      <c r="L380" s="4"/>
      <c r="AG380" s="1698" t="s">
        <v>600</v>
      </c>
      <c r="AH380" s="1698"/>
    </row>
    <row r="381" spans="1:34" ht="13" customHeight="1">
      <c r="E381" s="4"/>
      <c r="F381" s="4"/>
      <c r="G381" s="348" t="s">
        <v>1013</v>
      </c>
      <c r="H381" s="4"/>
      <c r="I381" s="4"/>
      <c r="J381" s="4"/>
      <c r="K381" s="4"/>
      <c r="L381" s="4"/>
      <c r="V381" s="1429" t="s">
        <v>600</v>
      </c>
      <c r="W381" s="1429"/>
      <c r="Y381" s="22" t="s">
        <v>1000</v>
      </c>
    </row>
    <row r="382" spans="1:34" ht="13" customHeight="1">
      <c r="E382" s="4" t="s">
        <v>1001</v>
      </c>
      <c r="F382" s="4"/>
      <c r="G382" s="4"/>
      <c r="H382" s="4"/>
      <c r="I382" s="4"/>
      <c r="J382" s="4"/>
      <c r="K382" s="4"/>
      <c r="L382" s="4"/>
      <c r="V382" s="1429" t="s">
        <v>600</v>
      </c>
      <c r="W382" s="1429"/>
      <c r="Y382" s="4" t="s">
        <v>1002</v>
      </c>
    </row>
    <row r="383" spans="1:34" ht="13" customHeight="1"/>
    <row r="384" spans="1:34" ht="13" customHeight="1">
      <c r="A384" s="2" t="s">
        <v>78</v>
      </c>
      <c r="B384" s="2"/>
    </row>
    <row r="385" spans="4:36" ht="13" customHeight="1">
      <c r="D385" t="s">
        <v>429</v>
      </c>
      <c r="J385" s="1416" t="s">
        <v>2660</v>
      </c>
      <c r="K385" s="1421"/>
      <c r="L385" s="1421"/>
      <c r="M385" s="1421"/>
      <c r="N385" s="1421"/>
      <c r="O385" s="1421"/>
      <c r="P385" s="1421"/>
      <c r="Q385" s="1421"/>
      <c r="R385" s="1421"/>
      <c r="S385" s="1421"/>
      <c r="T385" s="1421"/>
      <c r="U385" s="1421"/>
      <c r="V385" s="8" t="s">
        <v>83</v>
      </c>
      <c r="W385" s="8"/>
      <c r="X385" s="8"/>
      <c r="Y385" s="8"/>
      <c r="Z385" s="8"/>
      <c r="AA385" s="8"/>
      <c r="AB385" s="8"/>
      <c r="AC385" s="1416" t="s">
        <v>2675</v>
      </c>
      <c r="AD385" s="1421"/>
      <c r="AE385" s="1421"/>
      <c r="AF385" s="1421"/>
      <c r="AG385" s="1421"/>
      <c r="AH385" s="1421"/>
      <c r="AI385" s="1421"/>
      <c r="AJ385" s="1421"/>
    </row>
    <row r="386" spans="4:36" ht="13" customHeight="1">
      <c r="D386" s="3" t="s">
        <v>1289</v>
      </c>
      <c r="J386" s="1563" t="s">
        <v>2675</v>
      </c>
      <c r="K386" s="1433"/>
      <c r="L386" s="1433"/>
      <c r="M386" s="1433"/>
      <c r="N386" s="1433"/>
      <c r="O386" s="1433"/>
      <c r="P386" s="1433"/>
      <c r="Q386" s="1433"/>
      <c r="R386" s="1433"/>
      <c r="S386" s="1433"/>
      <c r="T386" s="1433"/>
      <c r="U386" s="1433"/>
      <c r="V386" s="3" t="s">
        <v>1289</v>
      </c>
      <c r="W386" s="8"/>
      <c r="X386" s="8"/>
      <c r="Y386" s="8"/>
      <c r="Z386" s="8"/>
      <c r="AA386" s="8"/>
      <c r="AB386" s="8"/>
      <c r="AC386" s="1421"/>
      <c r="AD386" s="1421"/>
      <c r="AE386" s="1421"/>
      <c r="AF386" s="1421"/>
      <c r="AG386" s="1421"/>
      <c r="AH386" s="1421"/>
      <c r="AI386" s="1421"/>
      <c r="AJ386" s="1421"/>
    </row>
    <row r="387" spans="4:36" ht="13" customHeight="1">
      <c r="D387" s="3" t="s">
        <v>444</v>
      </c>
      <c r="J387" s="1563" t="s">
        <v>2716</v>
      </c>
      <c r="K387" s="1433"/>
      <c r="L387" s="1433"/>
      <c r="M387" s="1433"/>
      <c r="N387" s="1433"/>
      <c r="O387" s="1433"/>
      <c r="P387" s="1433"/>
      <c r="Q387" s="1433"/>
      <c r="R387" s="1433"/>
      <c r="S387" s="1433"/>
      <c r="T387" s="1433"/>
      <c r="U387" s="1433"/>
      <c r="V387" s="3" t="s">
        <v>444</v>
      </c>
      <c r="W387" s="8"/>
      <c r="X387" s="8"/>
      <c r="Y387" s="8"/>
      <c r="Z387" s="8"/>
      <c r="AA387" s="8"/>
      <c r="AB387" s="8"/>
      <c r="AC387" s="1421"/>
      <c r="AD387" s="1421"/>
      <c r="AE387" s="1421"/>
      <c r="AF387" s="1421"/>
      <c r="AG387" s="1421"/>
      <c r="AH387" s="1421"/>
      <c r="AI387" s="1421"/>
      <c r="AJ387" s="1421"/>
    </row>
    <row r="388" spans="4:36" ht="13" customHeight="1">
      <c r="D388" t="s">
        <v>1285</v>
      </c>
      <c r="J388" s="1820" t="s">
        <v>2673</v>
      </c>
      <c r="K388" s="1396"/>
      <c r="L388" s="1396"/>
      <c r="M388" s="1396"/>
      <c r="N388" s="1396"/>
      <c r="O388" s="1396"/>
      <c r="P388" s="1396"/>
      <c r="Q388" s="1396"/>
      <c r="R388" s="1396"/>
      <c r="S388" s="1396"/>
      <c r="T388" s="1396"/>
      <c r="U388" s="1396"/>
      <c r="V388" s="1416" t="s">
        <v>2674</v>
      </c>
      <c r="W388" s="1421"/>
      <c r="X388" s="1421"/>
      <c r="Y388" s="1421"/>
      <c r="Z388" s="1421"/>
      <c r="AA388" s="1421"/>
      <c r="AB388" s="1421"/>
      <c r="AC388" s="1421"/>
      <c r="AD388" s="1421"/>
      <c r="AE388" s="1421"/>
      <c r="AF388" s="1421"/>
      <c r="AG388" s="1421"/>
      <c r="AH388" s="1421"/>
      <c r="AI388" s="1421"/>
      <c r="AJ388" s="1421"/>
    </row>
    <row r="389" spans="4:36" ht="13" customHeight="1">
      <c r="D389" t="s">
        <v>4</v>
      </c>
      <c r="Q389" s="1697">
        <v>45363</v>
      </c>
      <c r="R389" s="1697"/>
      <c r="S389" s="1697"/>
      <c r="T389" s="1697"/>
      <c r="U389" s="1697"/>
      <c r="V389" t="s">
        <v>310</v>
      </c>
      <c r="AI389" s="1429" t="s">
        <v>554</v>
      </c>
      <c r="AJ389" s="1429"/>
    </row>
    <row r="390" spans="4:36" ht="13" customHeight="1">
      <c r="D390" t="s">
        <v>5</v>
      </c>
      <c r="Q390" s="1583">
        <v>45728</v>
      </c>
      <c r="R390" s="1694"/>
      <c r="S390" s="1694"/>
      <c r="T390" s="1694"/>
      <c r="U390" s="1694"/>
      <c r="W390" s="21" t="s">
        <v>74</v>
      </c>
      <c r="AG390" s="1690">
        <v>0</v>
      </c>
      <c r="AH390" s="1690"/>
      <c r="AI390" s="1690"/>
      <c r="AJ390" s="1690"/>
    </row>
    <row r="391" spans="4:36" ht="13" customHeight="1">
      <c r="D391" t="s">
        <v>428</v>
      </c>
      <c r="Q391" s="1691">
        <v>3000000</v>
      </c>
      <c r="R391" s="1691"/>
      <c r="S391" s="1691"/>
      <c r="T391" s="1691"/>
      <c r="U391" s="1691"/>
      <c r="V391" s="3" t="s">
        <v>1288</v>
      </c>
      <c r="AG391" s="1831">
        <v>45731</v>
      </c>
      <c r="AH391" s="1831"/>
      <c r="AI391" s="1831"/>
      <c r="AJ391" s="1831"/>
    </row>
    <row r="392" spans="4:36" ht="13" customHeight="1">
      <c r="D392" t="s">
        <v>88</v>
      </c>
      <c r="I392" s="1444" t="s">
        <v>2676</v>
      </c>
      <c r="J392" s="1445"/>
      <c r="K392" s="1445"/>
      <c r="L392" s="1445"/>
      <c r="M392" s="1445"/>
      <c r="N392" s="1445"/>
      <c r="Q392" s="4" t="s">
        <v>207</v>
      </c>
      <c r="S392" s="1696"/>
      <c r="T392" s="1696"/>
      <c r="U392" s="1696"/>
      <c r="V392" t="s">
        <v>73</v>
      </c>
      <c r="AI392" s="1429" t="s">
        <v>678</v>
      </c>
      <c r="AJ392" s="1429"/>
    </row>
    <row r="393" spans="4:36" ht="13" customHeight="1">
      <c r="D393" t="s">
        <v>311</v>
      </c>
      <c r="Q393" s="1399">
        <v>23000</v>
      </c>
      <c r="R393" s="1399"/>
      <c r="S393" s="1399"/>
      <c r="T393" s="1399"/>
      <c r="U393" s="1399"/>
      <c r="V393" t="s">
        <v>312</v>
      </c>
      <c r="AG393" s="1690">
        <v>450000</v>
      </c>
      <c r="AH393" s="1690"/>
      <c r="AI393" s="1690"/>
      <c r="AJ393" s="1690"/>
    </row>
    <row r="394" spans="4:36" ht="13" customHeight="1">
      <c r="D394" t="s">
        <v>313</v>
      </c>
      <c r="Q394" s="1769">
        <v>1.10542E-2</v>
      </c>
      <c r="R394" s="1769"/>
      <c r="S394" s="1769"/>
      <c r="T394" s="1769"/>
      <c r="U394" s="1769"/>
      <c r="V394" t="s">
        <v>1269</v>
      </c>
      <c r="AG394" s="1690"/>
      <c r="AH394" s="1690"/>
      <c r="AI394" s="1690"/>
      <c r="AJ394" s="1690"/>
    </row>
    <row r="395" spans="4:36" ht="13" customHeight="1">
      <c r="D395" t="s">
        <v>1268</v>
      </c>
      <c r="AG395" s="1690"/>
      <c r="AH395" s="1690"/>
      <c r="AI395" s="1690"/>
      <c r="AJ395" s="1690"/>
    </row>
    <row r="396" spans="4:36" ht="13" customHeight="1">
      <c r="AG396" s="490"/>
      <c r="AH396" s="490"/>
      <c r="AI396" s="490"/>
      <c r="AJ396" s="490"/>
    </row>
    <row r="397" spans="4:36" ht="13" customHeight="1">
      <c r="D397" s="3" t="s">
        <v>2502</v>
      </c>
      <c r="AG397" s="490"/>
      <c r="AH397" s="490"/>
      <c r="AI397" s="1429" t="s">
        <v>678</v>
      </c>
      <c r="AJ397" s="1429"/>
    </row>
    <row r="398" spans="4:36" ht="13" customHeight="1">
      <c r="D398" s="3" t="s">
        <v>1781</v>
      </c>
      <c r="T398" s="1709"/>
      <c r="U398" s="1709"/>
      <c r="V398" s="1709"/>
      <c r="W398" s="1709"/>
      <c r="X398" s="1709"/>
      <c r="Y398" s="1709"/>
      <c r="Z398" s="1709"/>
      <c r="AA398" s="1709"/>
      <c r="AB398" s="1709"/>
      <c r="AC398" s="1709"/>
      <c r="AD398" s="1709"/>
      <c r="AE398" s="1709"/>
      <c r="AF398" s="1709"/>
      <c r="AG398" s="1709"/>
      <c r="AH398" s="1709"/>
      <c r="AI398" s="1709"/>
      <c r="AJ398" s="1709"/>
    </row>
    <row r="399" spans="4:36" ht="13" customHeight="1">
      <c r="D399" s="3" t="s">
        <v>1780</v>
      </c>
      <c r="T399" s="1709"/>
      <c r="U399" s="1709"/>
      <c r="V399" s="1709"/>
      <c r="W399" s="1709"/>
      <c r="X399" s="1709"/>
      <c r="Y399" s="1709"/>
      <c r="Z399" s="1709"/>
      <c r="AA399" s="1709"/>
      <c r="AB399" s="1709"/>
      <c r="AC399" s="1709"/>
      <c r="AD399" s="1709"/>
      <c r="AE399" s="1709"/>
      <c r="AF399" s="1709"/>
      <c r="AG399" s="1709"/>
      <c r="AH399" s="1709"/>
      <c r="AI399" s="1709"/>
      <c r="AJ399" s="1709"/>
    </row>
    <row r="400" spans="4:36" ht="13" customHeight="1">
      <c r="AG400" s="490"/>
      <c r="AH400" s="490"/>
      <c r="AI400" s="490"/>
      <c r="AJ400" s="490"/>
    </row>
    <row r="401" spans="1:36" ht="13" customHeight="1">
      <c r="D401" s="3" t="s">
        <v>1774</v>
      </c>
      <c r="S401" s="1709" t="s">
        <v>678</v>
      </c>
      <c r="T401" s="1709"/>
      <c r="U401" s="1709"/>
      <c r="V401" t="s">
        <v>1775</v>
      </c>
      <c r="AG401" s="1818"/>
      <c r="AH401" s="1818"/>
      <c r="AI401" s="1818"/>
      <c r="AJ401" s="1818"/>
    </row>
    <row r="402" spans="1:36" ht="13" customHeight="1">
      <c r="D402" s="3" t="s">
        <v>1772</v>
      </c>
      <c r="S402" s="1709" t="s">
        <v>600</v>
      </c>
      <c r="T402" s="1709"/>
      <c r="U402" s="1709"/>
      <c r="V402" t="s">
        <v>1777</v>
      </c>
      <c r="AE402" s="1832"/>
      <c r="AF402" s="1832"/>
      <c r="AG402" s="1832"/>
      <c r="AH402" s="1832"/>
      <c r="AI402" s="1832"/>
      <c r="AJ402" s="1832"/>
    </row>
    <row r="403" spans="1:36" ht="13" customHeight="1">
      <c r="D403" s="3" t="s">
        <v>1773</v>
      </c>
      <c r="K403" s="1810"/>
      <c r="L403" s="1810"/>
      <c r="M403" s="1810"/>
      <c r="N403" s="1810"/>
      <c r="O403" s="1810"/>
      <c r="P403" s="1810"/>
      <c r="Q403" s="1810"/>
      <c r="R403" s="1810"/>
      <c r="S403" s="1810"/>
      <c r="T403" s="1810"/>
      <c r="U403" s="1810"/>
      <c r="V403" s="1810"/>
      <c r="W403" s="1810"/>
      <c r="X403" s="1810"/>
      <c r="Y403" s="1810"/>
      <c r="Z403" s="1810"/>
      <c r="AA403" s="1810"/>
      <c r="AB403" s="1810"/>
      <c r="AC403" s="1810"/>
      <c r="AD403" s="1810"/>
      <c r="AE403" s="1810"/>
      <c r="AF403" s="1810"/>
      <c r="AG403" s="1810"/>
      <c r="AH403" s="1810"/>
      <c r="AI403" s="1810"/>
      <c r="AJ403" s="1810"/>
    </row>
    <row r="404" spans="1:36" ht="13" customHeight="1">
      <c r="D404" s="3" t="s">
        <v>1776</v>
      </c>
      <c r="K404" s="1810"/>
      <c r="L404" s="1810"/>
      <c r="M404" s="1810"/>
      <c r="N404" s="1810"/>
      <c r="O404" s="1810"/>
      <c r="P404" s="1810"/>
      <c r="Q404" s="1810"/>
      <c r="R404" s="1810"/>
      <c r="S404" s="1810"/>
      <c r="T404" s="1810"/>
      <c r="U404" s="1810"/>
      <c r="V404" s="1810"/>
      <c r="W404" s="1810"/>
      <c r="X404" s="1810"/>
      <c r="Y404" s="1810"/>
      <c r="Z404" s="1810"/>
      <c r="AA404" s="1810"/>
      <c r="AB404" s="1810"/>
      <c r="AC404" s="1810"/>
      <c r="AD404" s="1810"/>
      <c r="AE404" s="1810"/>
      <c r="AF404" s="1810"/>
      <c r="AG404" s="1810"/>
      <c r="AH404" s="1810"/>
      <c r="AI404" s="1810"/>
      <c r="AJ404" s="1810"/>
    </row>
    <row r="405" spans="1:36" ht="13" customHeight="1">
      <c r="D405" s="3" t="s">
        <v>1779</v>
      </c>
      <c r="E405" s="511"/>
      <c r="F405" s="511"/>
      <c r="G405" s="511"/>
      <c r="H405" s="511"/>
      <c r="I405" s="511"/>
      <c r="J405" s="511"/>
      <c r="K405" s="511"/>
      <c r="L405" s="511"/>
      <c r="M405" s="511"/>
      <c r="N405" s="511"/>
      <c r="O405" s="511"/>
      <c r="P405" s="511"/>
      <c r="Q405" s="511"/>
      <c r="R405" s="511"/>
      <c r="S405" s="1833" t="s">
        <v>1291</v>
      </c>
      <c r="T405" s="1833"/>
      <c r="U405" s="1833"/>
      <c r="V405" s="1833"/>
      <c r="W405" s="1833"/>
      <c r="X405" s="1833"/>
      <c r="Y405" s="1833"/>
      <c r="Z405" s="1833"/>
      <c r="AA405" s="1833"/>
      <c r="AB405" s="1833"/>
      <c r="AC405" s="1833"/>
      <c r="AD405" s="1833"/>
      <c r="AE405" s="1833"/>
      <c r="AF405" s="1833"/>
      <c r="AG405" s="1833"/>
      <c r="AH405" s="1833"/>
      <c r="AI405" s="1833"/>
      <c r="AJ405" s="1833"/>
    </row>
    <row r="406" spans="1:36" ht="13" customHeight="1">
      <c r="D406" s="1270" t="s">
        <v>1778</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416" t="s">
        <v>2717</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3" customHeight="1">
      <c r="E411" t="s">
        <v>106</v>
      </c>
      <c r="R411" s="1429" t="s">
        <v>554</v>
      </c>
      <c r="S411" s="1429"/>
      <c r="AC411" s="27" t="s">
        <v>579</v>
      </c>
      <c r="AD411" s="1693">
        <v>8</v>
      </c>
      <c r="AE411" s="1693"/>
    </row>
    <row r="412" spans="1:36" ht="13" customHeight="1">
      <c r="E412" t="s">
        <v>107</v>
      </c>
      <c r="R412" s="1429" t="s">
        <v>600</v>
      </c>
      <c r="S412" s="1429"/>
      <c r="AC412" s="27" t="s">
        <v>579</v>
      </c>
      <c r="AD412" s="1693"/>
      <c r="AE412" s="1693"/>
    </row>
    <row r="413" spans="1:36" ht="13" customHeight="1">
      <c r="E413" t="s">
        <v>108</v>
      </c>
      <c r="S413" s="1429" t="s">
        <v>600</v>
      </c>
      <c r="T413" s="1429"/>
    </row>
    <row r="414" spans="1:36" ht="13" customHeight="1">
      <c r="E414" t="s">
        <v>170</v>
      </c>
      <c r="H414" s="1776" t="s">
        <v>335</v>
      </c>
      <c r="I414" s="1776"/>
      <c r="J414" s="1776"/>
      <c r="K414" s="1776"/>
      <c r="L414" s="1776"/>
      <c r="M414" s="1776"/>
      <c r="N414" s="1776"/>
      <c r="O414" s="1776"/>
      <c r="P414" s="1776"/>
      <c r="Q414" s="1776"/>
      <c r="R414" s="1776"/>
      <c r="S414" s="1776"/>
      <c r="T414" s="1776"/>
      <c r="U414" s="1776"/>
      <c r="V414" s="1776"/>
      <c r="W414" s="1776"/>
      <c r="X414" s="1776"/>
      <c r="Y414" s="1776"/>
      <c r="Z414" s="1776"/>
      <c r="AA414" s="1776"/>
      <c r="AB414" s="1776"/>
      <c r="AC414" s="1776"/>
      <c r="AD414" s="1776"/>
      <c r="AE414" s="1776"/>
    </row>
    <row r="415" spans="1:36" ht="13" customHeight="1">
      <c r="H415" s="1777"/>
      <c r="I415" s="1777"/>
      <c r="J415" s="1777"/>
      <c r="K415" s="1777"/>
      <c r="L415" s="1777"/>
      <c r="M415" s="1777"/>
      <c r="N415" s="1777"/>
      <c r="O415" s="1777"/>
      <c r="P415" s="1777"/>
      <c r="Q415" s="1777"/>
      <c r="R415" s="1777"/>
      <c r="S415" s="1777"/>
      <c r="T415" s="1777"/>
      <c r="U415" s="1777"/>
      <c r="V415" s="1777"/>
      <c r="W415" s="1777"/>
      <c r="X415" s="1777"/>
      <c r="Y415" s="1777"/>
      <c r="Z415" s="1777"/>
      <c r="AA415" s="1777"/>
      <c r="AB415" s="1777"/>
      <c r="AC415" s="1777"/>
      <c r="AD415" s="1777"/>
      <c r="AE415" s="1777"/>
    </row>
    <row r="416" spans="1:36" ht="13" customHeight="1"/>
    <row r="417" spans="1:39" ht="13" customHeight="1">
      <c r="A417" s="2" t="s">
        <v>599</v>
      </c>
      <c r="B417" s="2"/>
      <c r="C417" s="2"/>
      <c r="D417" s="2" t="s">
        <v>114</v>
      </c>
      <c r="AF417" s="2" t="s">
        <v>977</v>
      </c>
    </row>
    <row r="418" spans="1:39" ht="13" customHeight="1">
      <c r="E418" s="1692"/>
      <c r="F418" s="1692"/>
      <c r="G418" s="1692"/>
      <c r="H418" s="13" t="s">
        <v>115</v>
      </c>
      <c r="I418" s="1692"/>
      <c r="J418" s="1692"/>
      <c r="K418" s="1692"/>
      <c r="L418" t="s">
        <v>116</v>
      </c>
      <c r="N418" s="27" t="s">
        <v>584</v>
      </c>
      <c r="P418" s="1695">
        <v>0.36</v>
      </c>
      <c r="Q418" s="1695"/>
      <c r="R418" s="1695"/>
      <c r="S418" t="s">
        <v>117</v>
      </c>
      <c r="W418" s="1866">
        <f>IF(E418&gt;0,(E418*I418),(P418*43560))</f>
        <v>15681.599999999999</v>
      </c>
      <c r="X418" s="1866"/>
      <c r="Y418" s="1866"/>
      <c r="Z418" t="s">
        <v>118</v>
      </c>
      <c r="AF418" s="1706">
        <f>IFERROR(IF(P418&gt;0,(AG437/P418),(AG437/(W418/43560))),0)</f>
        <v>497.22222222222223</v>
      </c>
      <c r="AG418" s="1706"/>
      <c r="AH418" s="1706"/>
      <c r="AM418" s="3"/>
    </row>
    <row r="419" spans="1:39" ht="13" customHeight="1">
      <c r="E419" t="s">
        <v>51</v>
      </c>
    </row>
    <row r="420" spans="1:39" ht="13" customHeight="1">
      <c r="E420" s="1834"/>
      <c r="F420" s="1834"/>
      <c r="G420" s="1834"/>
      <c r="H420" s="1834"/>
      <c r="I420" s="1834"/>
      <c r="J420" s="1834"/>
      <c r="K420" s="1834"/>
      <c r="L420" s="1834"/>
      <c r="M420" s="1834"/>
      <c r="N420" s="1834"/>
      <c r="O420" s="1834"/>
      <c r="P420" s="1834"/>
      <c r="Q420" s="1834"/>
      <c r="R420" s="1834"/>
      <c r="S420" s="1834"/>
      <c r="T420" s="1834"/>
      <c r="U420" s="1834"/>
      <c r="V420" s="1834"/>
      <c r="W420" s="1834"/>
      <c r="X420" s="1834"/>
      <c r="Y420" s="1834"/>
      <c r="Z420" s="1834"/>
      <c r="AA420" s="1834"/>
      <c r="AB420" s="1834"/>
      <c r="AC420" s="1834"/>
      <c r="AD420" s="1834"/>
      <c r="AE420" s="1834"/>
      <c r="AF420" s="1834"/>
      <c r="AG420" s="1834"/>
      <c r="AH420" s="1834"/>
      <c r="AI420" s="1834"/>
      <c r="AJ420" s="1834"/>
    </row>
    <row r="421" spans="1:39" ht="13" customHeight="1">
      <c r="E421" s="118" t="s">
        <v>1926</v>
      </c>
      <c r="F421" s="1048"/>
      <c r="G421" s="1048"/>
      <c r="H421" s="1048"/>
      <c r="I421" s="1775">
        <v>0.36</v>
      </c>
      <c r="J421" s="1775"/>
      <c r="K421" s="1775"/>
      <c r="L421" s="1048"/>
      <c r="M421" s="118"/>
      <c r="N421" s="1048"/>
      <c r="O421" s="1048"/>
      <c r="P421" s="1650">
        <f>(CS634+CS642+CS658)/I421</f>
        <v>497.22222222222223</v>
      </c>
      <c r="Q421" s="1650"/>
      <c r="R421" s="1650"/>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429">
        <v>1</v>
      </c>
      <c r="Q424" s="1429"/>
      <c r="S424" t="s">
        <v>190</v>
      </c>
      <c r="AE424" s="1429">
        <v>1</v>
      </c>
      <c r="AF424" s="1429"/>
    </row>
    <row r="425" spans="1:39" ht="13" customHeight="1">
      <c r="E425" t="s">
        <v>191</v>
      </c>
      <c r="P425" s="1429">
        <v>0</v>
      </c>
      <c r="Q425" s="1429"/>
      <c r="S425" t="s">
        <v>131</v>
      </c>
      <c r="AE425" s="1429" t="s">
        <v>554</v>
      </c>
      <c r="AF425" s="1429"/>
    </row>
    <row r="426" spans="1:39" ht="13" customHeight="1">
      <c r="F426" s="28" t="s">
        <v>132</v>
      </c>
    </row>
    <row r="427" spans="1:39" ht="13" customHeight="1">
      <c r="F427" s="1814" t="s">
        <v>2718</v>
      </c>
      <c r="G427" s="1799"/>
      <c r="H427" s="1799"/>
      <c r="I427" s="1799"/>
      <c r="J427" s="1799"/>
      <c r="K427" s="1799"/>
      <c r="L427" s="1799"/>
      <c r="M427" s="1799"/>
      <c r="N427" s="1799"/>
      <c r="O427" s="1799"/>
      <c r="P427" s="1799"/>
      <c r="Q427" s="1799"/>
      <c r="R427" s="1799"/>
      <c r="S427" s="1799"/>
      <c r="T427" s="1799"/>
      <c r="U427" s="1799"/>
      <c r="V427" s="1799"/>
      <c r="W427" s="1799"/>
      <c r="X427" s="1799"/>
      <c r="Y427" s="1799"/>
      <c r="Z427" s="1799"/>
      <c r="AA427" s="1799"/>
      <c r="AB427" s="1799"/>
      <c r="AC427" s="1799"/>
      <c r="AD427" s="1799"/>
      <c r="AE427" s="1799"/>
      <c r="AF427" s="1799"/>
      <c r="AG427" s="1799"/>
      <c r="AH427" s="1799"/>
    </row>
    <row r="428" spans="1:39" ht="13" customHeight="1">
      <c r="F428" s="1800"/>
      <c r="G428" s="1800"/>
      <c r="H428" s="1800"/>
      <c r="I428" s="1800"/>
      <c r="J428" s="1800"/>
      <c r="K428" s="1800"/>
      <c r="L428" s="1800"/>
      <c r="M428" s="1800"/>
      <c r="N428" s="1800"/>
      <c r="O428" s="1800"/>
      <c r="P428" s="1800"/>
      <c r="Q428" s="1800"/>
      <c r="R428" s="1800"/>
      <c r="S428" s="1800"/>
      <c r="T428" s="1800"/>
      <c r="U428" s="1800"/>
      <c r="V428" s="1800"/>
      <c r="W428" s="1800"/>
      <c r="X428" s="1800"/>
      <c r="Y428" s="1800"/>
      <c r="Z428" s="1800"/>
      <c r="AA428" s="1800"/>
      <c r="AB428" s="1800"/>
      <c r="AC428" s="1800"/>
      <c r="AD428" s="1800"/>
      <c r="AE428" s="1800"/>
      <c r="AF428" s="1800"/>
      <c r="AG428" s="1800"/>
      <c r="AH428" s="1800"/>
    </row>
    <row r="429" spans="1:39" ht="13" customHeight="1">
      <c r="E429" t="s">
        <v>617</v>
      </c>
      <c r="P429" s="1"/>
      <c r="Q429" s="1429" t="s">
        <v>678</v>
      </c>
      <c r="R429" s="1429"/>
    </row>
    <row r="430" spans="1:39" ht="13" customHeight="1">
      <c r="F430" t="s">
        <v>618</v>
      </c>
      <c r="P430" s="1"/>
      <c r="Q430" s="1"/>
      <c r="AF430" s="1429" t="s">
        <v>600</v>
      </c>
      <c r="AG430" s="1835"/>
    </row>
    <row r="431" spans="1:39" ht="13" customHeight="1"/>
    <row r="432" spans="1:39" ht="13" customHeight="1">
      <c r="A432" s="2"/>
      <c r="B432" s="2"/>
      <c r="C432" s="2"/>
      <c r="E432" s="4" t="s">
        <v>309</v>
      </c>
      <c r="Z432" s="1429" t="s">
        <v>678</v>
      </c>
      <c r="AA432" s="1429"/>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429" t="s">
        <v>600</v>
      </c>
      <c r="AA434" s="1429"/>
    </row>
    <row r="435" spans="1:110" ht="13" customHeight="1"/>
    <row r="436" spans="1:110" ht="13" customHeight="1">
      <c r="A436" s="2" t="s">
        <v>476</v>
      </c>
      <c r="B436" s="2"/>
      <c r="C436" s="2"/>
      <c r="D436" s="2" t="s">
        <v>774</v>
      </c>
      <c r="AF436" s="48"/>
    </row>
    <row r="437" spans="1:110" ht="13" customHeight="1">
      <c r="D437" s="1634" t="s">
        <v>43</v>
      </c>
      <c r="E437" s="1635"/>
      <c r="F437" s="1635"/>
      <c r="G437" s="1635"/>
      <c r="H437" s="1635"/>
      <c r="I437" s="1635"/>
      <c r="J437" s="1635"/>
      <c r="K437" s="1635"/>
      <c r="L437" s="1635"/>
      <c r="M437" s="1635"/>
      <c r="N437" s="1635"/>
      <c r="O437" s="1635"/>
      <c r="P437" s="1635"/>
      <c r="Q437" s="1635"/>
      <c r="R437" s="1635"/>
      <c r="S437" s="1635"/>
      <c r="T437" s="1635"/>
      <c r="U437" s="1635"/>
      <c r="V437" s="1635"/>
      <c r="W437" s="1635"/>
      <c r="X437" s="1635"/>
      <c r="Y437" s="1635"/>
      <c r="Z437" s="1635"/>
      <c r="AA437" s="1635"/>
      <c r="AB437" s="1635"/>
      <c r="AC437" s="1635"/>
      <c r="AD437" s="1635"/>
      <c r="AE437" s="1635"/>
      <c r="AF437" s="1819"/>
      <c r="AG437" s="1770">
        <v>179</v>
      </c>
      <c r="AH437" s="1770"/>
      <c r="AI437" s="1770"/>
      <c r="AJ437" s="1770"/>
    </row>
    <row r="438" spans="1:110" ht="13" customHeight="1">
      <c r="D438" s="1702" t="s">
        <v>1330</v>
      </c>
      <c r="E438" s="1703"/>
      <c r="F438" s="1703"/>
      <c r="G438" s="1703"/>
      <c r="H438" s="1703"/>
      <c r="I438" s="1703"/>
      <c r="J438" s="1703"/>
      <c r="K438" s="1703"/>
      <c r="L438" s="1703"/>
      <c r="M438" s="1703"/>
      <c r="N438" s="1703"/>
      <c r="O438" s="1703"/>
      <c r="P438" s="1703"/>
      <c r="Q438" s="1703"/>
      <c r="R438" s="1703"/>
      <c r="S438" s="1703"/>
      <c r="T438" s="1703"/>
      <c r="U438" s="1703"/>
      <c r="V438" s="1703"/>
      <c r="W438" s="1703"/>
      <c r="X438" s="1703"/>
      <c r="Y438" s="1703"/>
      <c r="Z438" s="1703"/>
      <c r="AA438" s="1703"/>
      <c r="AB438" s="1703"/>
      <c r="AC438" s="1703"/>
      <c r="AD438" s="1703"/>
      <c r="AE438" s="1703"/>
      <c r="AF438" s="1704"/>
      <c r="AG438" s="1830">
        <v>0</v>
      </c>
      <c r="AH438" s="1656"/>
      <c r="AI438" s="1656"/>
      <c r="AJ438" s="1656"/>
    </row>
    <row r="439" spans="1:110" ht="13" customHeight="1">
      <c r="D439" s="1702" t="s">
        <v>1056</v>
      </c>
      <c r="E439" s="1703"/>
      <c r="F439" s="1703"/>
      <c r="G439" s="1703"/>
      <c r="H439" s="1703"/>
      <c r="I439" s="1703"/>
      <c r="J439" s="1703"/>
      <c r="K439" s="1703"/>
      <c r="L439" s="1703"/>
      <c r="M439" s="1703"/>
      <c r="N439" s="1703"/>
      <c r="O439" s="1703"/>
      <c r="P439" s="1703"/>
      <c r="Q439" s="1703"/>
      <c r="R439" s="1703"/>
      <c r="S439" s="1703"/>
      <c r="T439" s="1703"/>
      <c r="U439" s="1703"/>
      <c r="V439" s="1703"/>
      <c r="W439" s="1703"/>
      <c r="X439" s="1703"/>
      <c r="Y439" s="1703"/>
      <c r="Z439" s="1703"/>
      <c r="AA439" s="1703"/>
      <c r="AB439" s="1703"/>
      <c r="AC439" s="1703"/>
      <c r="AD439" s="1703"/>
      <c r="AE439" s="1703"/>
      <c r="AF439" s="1704"/>
      <c r="AG439" s="1770">
        <v>177</v>
      </c>
      <c r="AH439" s="1770"/>
      <c r="AI439" s="1770"/>
      <c r="AJ439" s="1770"/>
    </row>
    <row r="440" spans="1:110" ht="13" customHeight="1">
      <c r="D440" s="1702" t="s">
        <v>1057</v>
      </c>
      <c r="E440" s="1703"/>
      <c r="F440" s="1703"/>
      <c r="G440" s="1703"/>
      <c r="H440" s="1703"/>
      <c r="I440" s="1703"/>
      <c r="J440" s="1703"/>
      <c r="K440" s="1703"/>
      <c r="L440" s="1703"/>
      <c r="M440" s="1703"/>
      <c r="N440" s="1703"/>
      <c r="O440" s="1703"/>
      <c r="P440" s="1703"/>
      <c r="Q440" s="1703"/>
      <c r="R440" s="1703"/>
      <c r="S440" s="1703"/>
      <c r="T440" s="1703"/>
      <c r="U440" s="1703"/>
      <c r="V440" s="1703"/>
      <c r="W440" s="1703"/>
      <c r="X440" s="1703"/>
      <c r="Y440" s="1703"/>
      <c r="Z440" s="1703"/>
      <c r="AA440" s="1703"/>
      <c r="AB440" s="1703"/>
      <c r="AC440" s="1703"/>
      <c r="AD440" s="1703"/>
      <c r="AE440" s="1703"/>
      <c r="AF440" s="1704"/>
      <c r="AG440" s="1770">
        <v>177</v>
      </c>
      <c r="AH440" s="1770"/>
      <c r="AI440" s="1770"/>
      <c r="AJ440" s="1770"/>
    </row>
    <row r="441" spans="1:110" ht="13" customHeight="1">
      <c r="D441" s="1702" t="s">
        <v>1059</v>
      </c>
      <c r="E441" s="1703"/>
      <c r="F441" s="1703"/>
      <c r="G441" s="1703"/>
      <c r="H441" s="1703"/>
      <c r="I441" s="1703"/>
      <c r="J441" s="1703"/>
      <c r="K441" s="1703"/>
      <c r="L441" s="1703"/>
      <c r="M441" s="1703"/>
      <c r="N441" s="1703"/>
      <c r="O441" s="1703"/>
      <c r="P441" s="1703"/>
      <c r="Q441" s="1703"/>
      <c r="R441" s="1703"/>
      <c r="S441" s="1703"/>
      <c r="T441" s="1703"/>
      <c r="U441" s="1703"/>
      <c r="V441" s="1703"/>
      <c r="W441" s="1703"/>
      <c r="X441" s="1703"/>
      <c r="Y441" s="1703"/>
      <c r="Z441" s="1703"/>
      <c r="AA441" s="1703"/>
      <c r="AB441" s="1703"/>
      <c r="AC441" s="1703"/>
      <c r="AD441" s="1703"/>
      <c r="AE441" s="1703"/>
      <c r="AF441" s="1704"/>
      <c r="AG441" s="1821">
        <f>IF(ISERROR(AG440/AG439),"",AG440/AG439)</f>
        <v>1</v>
      </c>
      <c r="AH441" s="1821"/>
      <c r="AI441" s="1821"/>
      <c r="AJ441" s="1821"/>
    </row>
    <row r="442" spans="1:110" ht="13" customHeight="1">
      <c r="D442" s="1702" t="s">
        <v>1058</v>
      </c>
      <c r="E442" s="1703"/>
      <c r="F442" s="1703"/>
      <c r="G442" s="1703"/>
      <c r="H442" s="1703"/>
      <c r="I442" s="1703"/>
      <c r="J442" s="1703"/>
      <c r="K442" s="1703"/>
      <c r="L442" s="1703"/>
      <c r="M442" s="1703"/>
      <c r="N442" s="1703"/>
      <c r="O442" s="1703"/>
      <c r="P442" s="1703"/>
      <c r="Q442" s="1703"/>
      <c r="R442" s="1703"/>
      <c r="S442" s="1703"/>
      <c r="T442" s="1703"/>
      <c r="U442" s="1703"/>
      <c r="V442" s="1703"/>
      <c r="W442" s="1703"/>
      <c r="X442" s="1703"/>
      <c r="Y442" s="1703"/>
      <c r="Z442" s="1703"/>
      <c r="AA442" s="1703"/>
      <c r="AB442" s="1703"/>
      <c r="AC442" s="1703"/>
      <c r="AD442" s="1703"/>
      <c r="AE442" s="1703"/>
      <c r="AF442" s="1704"/>
      <c r="AG442" s="1827">
        <f>57693-322*2</f>
        <v>57049</v>
      </c>
      <c r="AH442" s="1827"/>
      <c r="AI442" s="1827"/>
      <c r="AJ442" s="1827"/>
    </row>
    <row r="443" spans="1:110" ht="13" customHeight="1">
      <c r="D443" s="1702" t="s">
        <v>1060</v>
      </c>
      <c r="E443" s="1703"/>
      <c r="F443" s="1703"/>
      <c r="G443" s="1703"/>
      <c r="H443" s="1703"/>
      <c r="I443" s="1703"/>
      <c r="J443" s="1703"/>
      <c r="K443" s="1703"/>
      <c r="L443" s="1703"/>
      <c r="M443" s="1703"/>
      <c r="N443" s="1703"/>
      <c r="O443" s="1703"/>
      <c r="P443" s="1703"/>
      <c r="Q443" s="1703"/>
      <c r="R443" s="1703"/>
      <c r="S443" s="1703"/>
      <c r="T443" s="1703"/>
      <c r="U443" s="1703"/>
      <c r="V443" s="1703"/>
      <c r="W443" s="1703"/>
      <c r="X443" s="1703"/>
      <c r="Y443" s="1703"/>
      <c r="Z443" s="1703"/>
      <c r="AA443" s="1703"/>
      <c r="AB443" s="1703"/>
      <c r="AC443" s="1703"/>
      <c r="AD443" s="1703"/>
      <c r="AE443" s="1703"/>
      <c r="AF443" s="1704"/>
      <c r="AG443" s="1827">
        <f>AG442</f>
        <v>57049</v>
      </c>
      <c r="AH443" s="1827"/>
      <c r="AI443" s="1827"/>
      <c r="AJ443" s="1827"/>
    </row>
    <row r="444" spans="1:110" ht="13" customHeight="1">
      <c r="D444" s="1702" t="s">
        <v>1061</v>
      </c>
      <c r="E444" s="1703"/>
      <c r="F444" s="1703"/>
      <c r="G444" s="1703"/>
      <c r="H444" s="1703"/>
      <c r="I444" s="1703"/>
      <c r="J444" s="1703"/>
      <c r="K444" s="1703"/>
      <c r="L444" s="1703"/>
      <c r="M444" s="1703"/>
      <c r="N444" s="1703"/>
      <c r="O444" s="1703"/>
      <c r="P444" s="1703"/>
      <c r="Q444" s="1703"/>
      <c r="R444" s="1703"/>
      <c r="S444" s="1703"/>
      <c r="T444" s="1703"/>
      <c r="U444" s="1703"/>
      <c r="V444" s="1703"/>
      <c r="W444" s="1703"/>
      <c r="X444" s="1703"/>
      <c r="Y444" s="1703"/>
      <c r="Z444" s="1703"/>
      <c r="AA444" s="1703"/>
      <c r="AB444" s="1703"/>
      <c r="AC444" s="1703"/>
      <c r="AD444" s="1703"/>
      <c r="AE444" s="1703"/>
      <c r="AF444" s="1704"/>
      <c r="AG444" s="1821">
        <f>IF(ISERROR(AG443/AG442),"",AG443/AG442)</f>
        <v>1</v>
      </c>
      <c r="AH444" s="1821"/>
      <c r="AI444" s="1821"/>
      <c r="AJ444" s="1821"/>
    </row>
    <row r="445" spans="1:110" ht="13" customHeight="1">
      <c r="D445" s="1702" t="s">
        <v>1062</v>
      </c>
      <c r="E445" s="1703"/>
      <c r="F445" s="1703"/>
      <c r="G445" s="1703"/>
      <c r="H445" s="1703"/>
      <c r="I445" s="1703"/>
      <c r="J445" s="1703"/>
      <c r="K445" s="1703"/>
      <c r="L445" s="1703"/>
      <c r="M445" s="1703"/>
      <c r="N445" s="1703"/>
      <c r="O445" s="1703"/>
      <c r="P445" s="1703"/>
      <c r="Q445" s="1703"/>
      <c r="R445" s="1703"/>
      <c r="S445" s="1703"/>
      <c r="T445" s="1703"/>
      <c r="U445" s="1703"/>
      <c r="V445" s="1703"/>
      <c r="W445" s="1703"/>
      <c r="X445" s="1703"/>
      <c r="Y445" s="1703"/>
      <c r="Z445" s="1703"/>
      <c r="AA445" s="1703"/>
      <c r="AB445" s="1703"/>
      <c r="AC445" s="1703"/>
      <c r="AD445" s="1703"/>
      <c r="AE445" s="1703"/>
      <c r="AF445" s="1704"/>
      <c r="AG445" s="1821">
        <f>MIN(IF(AG441&gt;AG444,AG444,AG441),1)</f>
        <v>1</v>
      </c>
      <c r="AH445" s="1821"/>
      <c r="AI445" s="1821"/>
      <c r="AJ445" s="1821"/>
    </row>
    <row r="446" spans="1:110" ht="13" customHeight="1">
      <c r="D446" s="1702" t="s">
        <v>2404</v>
      </c>
      <c r="E446" s="1635"/>
      <c r="F446" s="1635"/>
      <c r="G446" s="1635"/>
      <c r="H446" s="1635"/>
      <c r="I446" s="1635"/>
      <c r="J446" s="1635"/>
      <c r="K446" s="1635"/>
      <c r="L446" s="1635"/>
      <c r="M446" s="1635"/>
      <c r="N446" s="1635"/>
      <c r="O446" s="1635"/>
      <c r="P446" s="1635"/>
      <c r="Q446" s="1635"/>
      <c r="R446" s="1635"/>
      <c r="S446" s="1635"/>
      <c r="T446" s="1635"/>
      <c r="U446" s="1635"/>
      <c r="V446" s="1635"/>
      <c r="W446" s="1635"/>
      <c r="X446" s="1635"/>
      <c r="Y446" s="1635"/>
      <c r="Z446" s="1635"/>
      <c r="AA446" s="1635"/>
      <c r="AB446" s="1635"/>
      <c r="AC446" s="1635"/>
      <c r="AD446" s="1635"/>
      <c r="AE446" s="1635"/>
      <c r="AF446" s="1819"/>
      <c r="AG446" s="1827">
        <f>3886+971</f>
        <v>4857</v>
      </c>
      <c r="AH446" s="1827"/>
      <c r="AI446" s="1827"/>
      <c r="AJ446" s="18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34" t="s">
        <v>578</v>
      </c>
      <c r="E447" s="1635"/>
      <c r="F447" s="1635"/>
      <c r="G447" s="1635"/>
      <c r="H447" s="1635"/>
      <c r="I447" s="1635"/>
      <c r="J447" s="1635"/>
      <c r="K447" s="1635"/>
      <c r="L447" s="1635"/>
      <c r="M447" s="1635"/>
      <c r="N447" s="1635"/>
      <c r="O447" s="1635"/>
      <c r="P447" s="1635"/>
      <c r="Q447" s="1635"/>
      <c r="R447" s="1635"/>
      <c r="S447" s="1635"/>
      <c r="T447" s="1635"/>
      <c r="U447" s="1635"/>
      <c r="V447" s="1635"/>
      <c r="W447" s="1635"/>
      <c r="X447" s="1635"/>
      <c r="Y447" s="1635"/>
      <c r="Z447" s="1635"/>
      <c r="AA447" s="1635"/>
      <c r="AB447" s="1635"/>
      <c r="AC447" s="1635"/>
      <c r="AD447" s="1635"/>
      <c r="AE447" s="1635"/>
      <c r="AF447" s="1819"/>
      <c r="AG447" s="1827">
        <v>1581</v>
      </c>
      <c r="AH447" s="1827"/>
      <c r="AI447" s="1827"/>
      <c r="AJ447" s="18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702" t="s">
        <v>1312</v>
      </c>
      <c r="E448" s="1635"/>
      <c r="F448" s="1635"/>
      <c r="G448" s="1635"/>
      <c r="H448" s="1635"/>
      <c r="I448" s="1635"/>
      <c r="J448" s="1635"/>
      <c r="K448" s="1635"/>
      <c r="L448" s="1635"/>
      <c r="M448" s="1635"/>
      <c r="N448" s="1635"/>
      <c r="O448" s="1635"/>
      <c r="P448" s="1635"/>
      <c r="Q448" s="1635"/>
      <c r="R448" s="1635"/>
      <c r="S448" s="1635"/>
      <c r="T448" s="1635"/>
      <c r="U448" s="1635"/>
      <c r="V448" s="1635"/>
      <c r="W448" s="1635"/>
      <c r="X448" s="1635"/>
      <c r="Y448" s="1635"/>
      <c r="Z448" s="1635"/>
      <c r="AA448" s="1635"/>
      <c r="AB448" s="1635"/>
      <c r="AC448" s="1635"/>
      <c r="AD448" s="1635"/>
      <c r="AE448" s="1635"/>
      <c r="AF448" s="1819"/>
      <c r="AG448" s="1827">
        <f>12711+322*2+2986+6450+5247</f>
        <v>28038</v>
      </c>
      <c r="AH448" s="1827"/>
      <c r="AI448" s="1827"/>
      <c r="AJ448" s="18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702" t="s">
        <v>1063</v>
      </c>
      <c r="E449" s="1635"/>
      <c r="F449" s="1635"/>
      <c r="G449" s="1635"/>
      <c r="H449" s="1635"/>
      <c r="I449" s="1635"/>
      <c r="J449" s="1635"/>
      <c r="K449" s="1635"/>
      <c r="L449" s="1635"/>
      <c r="M449" s="1635"/>
      <c r="N449" s="1635"/>
      <c r="O449" s="1635"/>
      <c r="P449" s="1635"/>
      <c r="Q449" s="1635"/>
      <c r="R449" s="1635"/>
      <c r="S449" s="1635"/>
      <c r="T449" s="1635"/>
      <c r="U449" s="1635"/>
      <c r="V449" s="1635"/>
      <c r="W449" s="1635"/>
      <c r="X449" s="1635"/>
      <c r="Y449" s="1635"/>
      <c r="Z449" s="1635"/>
      <c r="AA449" s="1635"/>
      <c r="AB449" s="1635"/>
      <c r="AC449" s="1635"/>
      <c r="AD449" s="1635"/>
      <c r="AE449" s="1635"/>
      <c r="AF449" s="1819"/>
      <c r="AG449" s="1827">
        <v>65443</v>
      </c>
      <c r="AH449" s="1827"/>
      <c r="AI449" s="1827"/>
      <c r="AJ449" s="18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22" t="s">
        <v>1064</v>
      </c>
      <c r="E450" s="1823"/>
      <c r="F450" s="1823"/>
      <c r="G450" s="1823"/>
      <c r="H450" s="1823"/>
      <c r="I450" s="1823"/>
      <c r="J450" s="1823"/>
      <c r="K450" s="1823"/>
      <c r="L450" s="1823"/>
      <c r="M450" s="1823"/>
      <c r="N450" s="1823"/>
      <c r="O450" s="1823"/>
      <c r="P450" s="1823"/>
      <c r="Q450" s="1823"/>
      <c r="R450" s="1823"/>
      <c r="S450" s="1823"/>
      <c r="T450" s="1823"/>
      <c r="U450" s="1823"/>
      <c r="V450" s="1823"/>
      <c r="W450" s="1823"/>
      <c r="X450" s="1823"/>
      <c r="Y450" s="1823"/>
      <c r="Z450" s="1823"/>
      <c r="AA450" s="1823"/>
      <c r="AB450" s="1823"/>
      <c r="AC450" s="1823"/>
      <c r="AD450" s="1823"/>
      <c r="AE450" s="1823"/>
      <c r="AF450" s="1824"/>
      <c r="AG450" s="1841">
        <f>AG442+AG446+AG448+AG449</f>
        <v>155387</v>
      </c>
      <c r="AH450" s="1841"/>
      <c r="AI450" s="1841"/>
      <c r="AJ450" s="184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5" t="s">
        <v>1313</v>
      </c>
      <c r="E451" s="1825"/>
      <c r="F451" s="1825"/>
      <c r="G451" s="1825"/>
      <c r="H451" s="1825"/>
      <c r="I451" s="1825"/>
      <c r="J451" s="1825"/>
      <c r="K451" s="1825"/>
      <c r="L451" s="1825"/>
      <c r="M451" s="1825"/>
      <c r="N451" s="1825"/>
      <c r="O451" s="1825"/>
      <c r="P451" s="1825"/>
      <c r="Q451" s="1825"/>
      <c r="R451" s="1825"/>
      <c r="S451" s="1825"/>
      <c r="T451" s="1825"/>
      <c r="U451" s="1825"/>
      <c r="V451" s="1825"/>
      <c r="W451" s="1825"/>
      <c r="X451" s="1825"/>
      <c r="Y451" s="1825"/>
      <c r="Z451" s="1825"/>
      <c r="AA451" s="1825"/>
      <c r="AB451" s="1825"/>
      <c r="AC451" s="1825"/>
      <c r="AD451" s="1825"/>
      <c r="AE451" s="1825"/>
      <c r="AF451" s="1825"/>
      <c r="AG451" s="1825"/>
      <c r="AH451" s="1825"/>
      <c r="AI451" s="1825"/>
      <c r="AJ451" s="18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6"/>
      <c r="E452" s="1826"/>
      <c r="F452" s="1826"/>
      <c r="G452" s="1826"/>
      <c r="H452" s="1826"/>
      <c r="I452" s="1826"/>
      <c r="J452" s="1826"/>
      <c r="K452" s="1826"/>
      <c r="L452" s="1826"/>
      <c r="M452" s="1826"/>
      <c r="N452" s="1826"/>
      <c r="O452" s="1826"/>
      <c r="P452" s="1826"/>
      <c r="Q452" s="1826"/>
      <c r="R452" s="1826"/>
      <c r="S452" s="1826"/>
      <c r="T452" s="1826"/>
      <c r="U452" s="1826"/>
      <c r="V452" s="1826"/>
      <c r="W452" s="1826"/>
      <c r="X452" s="1826"/>
      <c r="Y452" s="1826"/>
      <c r="Z452" s="1826"/>
      <c r="AA452" s="1826"/>
      <c r="AB452" s="1826"/>
      <c r="AC452" s="1826"/>
      <c r="AD452" s="1826"/>
      <c r="AE452" s="1826"/>
      <c r="AF452" s="1826"/>
      <c r="AG452" s="1826"/>
      <c r="AH452" s="1826"/>
      <c r="AI452" s="1826"/>
      <c r="AJ452" s="18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40">
        <f>IF(AG437=0,"",'Sources and Uses Budget'!B105/Application!AG437)</f>
        <v>505662.3966480447</v>
      </c>
      <c r="AD454" s="1840"/>
      <c r="AE454" s="1840"/>
      <c r="AF454" s="184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40">
        <f>IF(AG437=0,"",'Sources and Uses Budget'!C105/Application!AG437)</f>
        <v>505662.3966480447</v>
      </c>
      <c r="AD455" s="1840"/>
      <c r="AE455" s="1840"/>
      <c r="AF455" s="184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40">
        <f>IF(AG437=0,"",('Sources and Uses Budget'!$S$107+'Sources and Uses Budget'!$T$107)/Application!AG437)</f>
        <v>451331.58455220587</v>
      </c>
      <c r="AD456" s="1840"/>
      <c r="AE456" s="1840"/>
      <c r="AF456" s="184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394" t="str">
        <f>IFERROR(IF(AC454&gt;650000,"Please provide a justification of cost per unit in Tab 12 for all projects with per unit costs of greater than $650,000.",""),"")</f>
        <v/>
      </c>
      <c r="G457" s="1394"/>
      <c r="H457" s="1394"/>
      <c r="I457" s="1394"/>
      <c r="J457" s="1394"/>
      <c r="K457" s="1394"/>
      <c r="L457" s="1394"/>
      <c r="M457" s="1394"/>
      <c r="N457" s="1394"/>
      <c r="O457" s="1394"/>
      <c r="P457" s="1394"/>
      <c r="Q457" s="1394"/>
      <c r="R457" s="1394"/>
      <c r="S457" s="1394"/>
      <c r="T457" s="1394"/>
      <c r="U457" s="1394"/>
      <c r="V457" s="1394"/>
      <c r="W457" s="1394"/>
      <c r="X457" s="1394"/>
      <c r="Y457" s="1394"/>
      <c r="Z457" s="1394"/>
      <c r="AA457" s="1394"/>
      <c r="AB457" s="139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394"/>
      <c r="G458" s="1394"/>
      <c r="H458" s="1394"/>
      <c r="I458" s="1394"/>
      <c r="J458" s="1394"/>
      <c r="K458" s="1394"/>
      <c r="L458" s="1394"/>
      <c r="M458" s="1394"/>
      <c r="N458" s="1394"/>
      <c r="O458" s="1394"/>
      <c r="P458" s="1394"/>
      <c r="Q458" s="1394"/>
      <c r="R458" s="1394"/>
      <c r="S458" s="1394"/>
      <c r="T458" s="1394"/>
      <c r="U458" s="1394"/>
      <c r="V458" s="1394"/>
      <c r="W458" s="1394"/>
      <c r="X458" s="1394"/>
      <c r="Y458" s="1394"/>
      <c r="Z458" s="1394"/>
      <c r="AA458" s="1394"/>
      <c r="AB458" s="139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36" t="s">
        <v>2418</v>
      </c>
      <c r="E465" s="1773"/>
      <c r="F465" s="1773"/>
      <c r="G465" s="1773"/>
      <c r="H465" s="1773"/>
      <c r="I465" s="1773"/>
      <c r="J465" s="1773"/>
      <c r="K465" s="1773"/>
      <c r="L465" s="1773"/>
      <c r="M465" s="1773"/>
      <c r="N465" s="1773"/>
      <c r="O465" s="1773"/>
      <c r="P465" s="1773"/>
      <c r="Q465" s="1773"/>
      <c r="R465" s="1773"/>
      <c r="S465" s="1773"/>
      <c r="T465" s="1773"/>
      <c r="U465" s="1773"/>
      <c r="V465" s="1774"/>
      <c r="W465" s="1461">
        <v>0</v>
      </c>
      <c r="X465" s="1462"/>
      <c r="Y465" s="1463"/>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2" t="s">
        <v>703</v>
      </c>
      <c r="E466" s="1773"/>
      <c r="F466" s="1773"/>
      <c r="G466" s="1773"/>
      <c r="H466" s="1773"/>
      <c r="I466" s="1773"/>
      <c r="J466" s="1773"/>
      <c r="K466" s="1773"/>
      <c r="L466" s="1773"/>
      <c r="M466" s="1773"/>
      <c r="N466" s="1773"/>
      <c r="O466" s="1773"/>
      <c r="P466" s="1773"/>
      <c r="Q466" s="1773"/>
      <c r="R466" s="1773"/>
      <c r="S466" s="1773"/>
      <c r="T466" s="1773"/>
      <c r="U466" s="1773"/>
      <c r="V466" s="1774"/>
      <c r="W466" s="1461">
        <v>0</v>
      </c>
      <c r="X466" s="1462"/>
      <c r="Y466" s="146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2" t="s">
        <v>704</v>
      </c>
      <c r="E467" s="1773"/>
      <c r="F467" s="1773"/>
      <c r="G467" s="1773"/>
      <c r="H467" s="1773"/>
      <c r="I467" s="1773"/>
      <c r="J467" s="1773"/>
      <c r="K467" s="1773"/>
      <c r="L467" s="1773"/>
      <c r="M467" s="1773"/>
      <c r="N467" s="1773"/>
      <c r="O467" s="1773"/>
      <c r="P467" s="1773"/>
      <c r="Q467" s="1773"/>
      <c r="R467" s="1773"/>
      <c r="S467" s="1773"/>
      <c r="T467" s="1773"/>
      <c r="U467" s="1773"/>
      <c r="V467" s="1774"/>
      <c r="W467" s="1461">
        <v>0</v>
      </c>
      <c r="X467" s="1462"/>
      <c r="Y467" s="146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2" t="s">
        <v>705</v>
      </c>
      <c r="E468" s="1773"/>
      <c r="F468" s="1773"/>
      <c r="G468" s="1773"/>
      <c r="H468" s="1773"/>
      <c r="I468" s="1773"/>
      <c r="J468" s="1773"/>
      <c r="K468" s="1773"/>
      <c r="L468" s="1773"/>
      <c r="M468" s="1773"/>
      <c r="N468" s="1773"/>
      <c r="O468" s="1773"/>
      <c r="P468" s="1773"/>
      <c r="Q468" s="1773"/>
      <c r="R468" s="1773"/>
      <c r="S468" s="1773"/>
      <c r="T468" s="1773"/>
      <c r="U468" s="1773"/>
      <c r="V468" s="1774"/>
      <c r="W468" s="1461">
        <v>0</v>
      </c>
      <c r="X468" s="1462"/>
      <c r="Y468" s="146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2" t="s">
        <v>894</v>
      </c>
      <c r="E469" s="1773"/>
      <c r="F469" s="1773"/>
      <c r="G469" s="1773"/>
      <c r="H469" s="1773"/>
      <c r="I469" s="1773"/>
      <c r="J469" s="1773"/>
      <c r="K469" s="1773"/>
      <c r="L469" s="1773"/>
      <c r="M469" s="1773"/>
      <c r="N469" s="1773"/>
      <c r="O469" s="1773"/>
      <c r="P469" s="1773"/>
      <c r="Q469" s="1773"/>
      <c r="R469" s="1773"/>
      <c r="S469" s="1773"/>
      <c r="T469" s="1773"/>
      <c r="U469" s="1773"/>
      <c r="V469" s="1774"/>
      <c r="W469" s="1461">
        <v>0</v>
      </c>
      <c r="X469" s="1462"/>
      <c r="Y469" s="1463"/>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2" t="s">
        <v>706</v>
      </c>
      <c r="E470" s="1773"/>
      <c r="F470" s="1773"/>
      <c r="G470" s="1773"/>
      <c r="H470" s="1773"/>
      <c r="I470" s="1773"/>
      <c r="J470" s="1773"/>
      <c r="K470" s="1773"/>
      <c r="L470" s="1773"/>
      <c r="M470" s="1773"/>
      <c r="N470" s="1773"/>
      <c r="O470" s="1773"/>
      <c r="P470" s="1773"/>
      <c r="Q470" s="1773"/>
      <c r="R470" s="1773"/>
      <c r="S470" s="1773"/>
      <c r="T470" s="1773"/>
      <c r="U470" s="1773"/>
      <c r="V470" s="1774"/>
      <c r="W470" s="1461">
        <v>0</v>
      </c>
      <c r="X470" s="1462"/>
      <c r="Y470" s="1463"/>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2" t="s">
        <v>1037</v>
      </c>
      <c r="E471" s="1773"/>
      <c r="F471" s="1773"/>
      <c r="G471" s="1773"/>
      <c r="H471" s="1773"/>
      <c r="I471" s="1773"/>
      <c r="J471" s="1773"/>
      <c r="K471" s="1773"/>
      <c r="L471" s="1773"/>
      <c r="M471" s="1773"/>
      <c r="N471" s="1773"/>
      <c r="O471" s="1773"/>
      <c r="P471" s="1773"/>
      <c r="Q471" s="1773"/>
      <c r="R471" s="1773"/>
      <c r="S471" s="1773"/>
      <c r="T471" s="1773"/>
      <c r="U471" s="1773"/>
      <c r="V471" s="1774"/>
      <c r="W471" s="1461">
        <v>0</v>
      </c>
      <c r="X471" s="1462"/>
      <c r="Y471" s="146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36" t="s">
        <v>2553</v>
      </c>
      <c r="E472" s="1864"/>
      <c r="F472" s="1864"/>
      <c r="G472" s="1864"/>
      <c r="H472" s="1864"/>
      <c r="I472" s="1864"/>
      <c r="J472" s="1864"/>
      <c r="K472" s="1864"/>
      <c r="L472" s="1864"/>
      <c r="M472" s="1864"/>
      <c r="N472" s="1864"/>
      <c r="O472" s="1864"/>
      <c r="P472" s="1864"/>
      <c r="Q472" s="1864"/>
      <c r="R472" s="1864"/>
      <c r="S472" s="1864"/>
      <c r="T472" s="1864"/>
      <c r="U472" s="1864"/>
      <c r="V472" s="1865"/>
      <c r="W472" s="1461">
        <v>0</v>
      </c>
      <c r="X472" s="1462"/>
      <c r="Y472" s="146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36" t="s">
        <v>1767</v>
      </c>
      <c r="E473" s="1773"/>
      <c r="F473" s="1773"/>
      <c r="G473" s="1773"/>
      <c r="H473" s="1773"/>
      <c r="I473" s="1773"/>
      <c r="J473" s="1773"/>
      <c r="K473" s="1773"/>
      <c r="L473" s="1773"/>
      <c r="M473" s="1773"/>
      <c r="N473" s="1773"/>
      <c r="O473" s="1773"/>
      <c r="P473" s="1773"/>
      <c r="Q473" s="1773"/>
      <c r="R473" s="1773"/>
      <c r="S473" s="1773"/>
      <c r="T473" s="1773"/>
      <c r="U473" s="1773"/>
      <c r="V473" s="1774"/>
      <c r="W473" s="1461">
        <v>0</v>
      </c>
      <c r="X473" s="1462"/>
      <c r="Y473" s="146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837"/>
      <c r="H474" s="1838"/>
      <c r="I474" s="1838"/>
      <c r="J474" s="1838"/>
      <c r="K474" s="1838"/>
      <c r="L474" s="1838"/>
      <c r="M474" s="1838"/>
      <c r="N474" s="1838"/>
      <c r="O474" s="1838"/>
      <c r="P474" s="1838"/>
      <c r="Q474" s="1838"/>
      <c r="R474" s="1838"/>
      <c r="S474" s="1838"/>
      <c r="T474" s="1838"/>
      <c r="U474" s="1838"/>
      <c r="V474" s="1839"/>
      <c r="W474" s="1461">
        <v>0</v>
      </c>
      <c r="X474" s="1462"/>
      <c r="Y474" s="146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43" t="s">
        <v>820</v>
      </c>
      <c r="B480" s="1443"/>
      <c r="C480" s="1443"/>
      <c r="D480" s="1443"/>
      <c r="E480" s="1443"/>
      <c r="F480" s="1443"/>
      <c r="G480" s="1443"/>
      <c r="H480" s="1443"/>
      <c r="I480" s="1443"/>
      <c r="J480" s="1443"/>
      <c r="K480" s="1443"/>
      <c r="L480" s="1443"/>
      <c r="M480" s="1443"/>
      <c r="N480" s="1443"/>
      <c r="O480" s="1443"/>
      <c r="P480" s="1443"/>
      <c r="Q480" s="1443"/>
      <c r="R480" s="1443"/>
      <c r="S480" s="1443"/>
      <c r="T480" s="1443"/>
      <c r="U480" s="1443"/>
      <c r="V480" s="1443"/>
      <c r="W480" s="1443"/>
      <c r="X480" s="1443"/>
      <c r="Y480" s="1443"/>
      <c r="Z480" s="1443"/>
      <c r="AA480" s="1443"/>
      <c r="AB480" s="1443"/>
      <c r="AC480" s="1443"/>
      <c r="AD480" s="1443"/>
      <c r="AE480" s="1443"/>
      <c r="AF480" s="1443"/>
      <c r="AG480" s="1443"/>
      <c r="AH480" s="1443"/>
      <c r="AI480" s="1443"/>
      <c r="AJ480" s="1443"/>
      <c r="AK480" s="1443"/>
      <c r="AL480" s="1443"/>
      <c r="AM480" s="1443"/>
      <c r="AN480" s="1443"/>
      <c r="AO480" s="1443"/>
      <c r="AP480" s="1443"/>
      <c r="AQ480" s="1443"/>
      <c r="AR480" s="1443"/>
      <c r="AS480" s="1443"/>
      <c r="AT480" s="144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43"/>
      <c r="B481" s="1443"/>
      <c r="C481" s="1443"/>
      <c r="D481" s="1443"/>
      <c r="E481" s="1443"/>
      <c r="F481" s="1443"/>
      <c r="G481" s="1443"/>
      <c r="H481" s="1443"/>
      <c r="I481" s="1443"/>
      <c r="J481" s="1443"/>
      <c r="K481" s="1443"/>
      <c r="L481" s="1443"/>
      <c r="M481" s="1443"/>
      <c r="N481" s="1443"/>
      <c r="O481" s="1443"/>
      <c r="P481" s="1443"/>
      <c r="Q481" s="1443"/>
      <c r="R481" s="1443"/>
      <c r="S481" s="1443"/>
      <c r="T481" s="1443"/>
      <c r="U481" s="1443"/>
      <c r="V481" s="1443"/>
      <c r="W481" s="1443"/>
      <c r="X481" s="1443"/>
      <c r="Y481" s="1443"/>
      <c r="Z481" s="1443"/>
      <c r="AA481" s="1443"/>
      <c r="AB481" s="1443"/>
      <c r="AC481" s="1443"/>
      <c r="AD481" s="1443"/>
      <c r="AE481" s="1443"/>
      <c r="AF481" s="1443"/>
      <c r="AG481" s="1443"/>
      <c r="AH481" s="1443"/>
      <c r="AI481" s="1443"/>
      <c r="AJ481" s="1443"/>
      <c r="AK481" s="1443"/>
      <c r="AL481" s="1443"/>
      <c r="AM481" s="1443"/>
      <c r="AN481" s="1443"/>
      <c r="AO481" s="1443"/>
      <c r="AP481" s="1443"/>
      <c r="AQ481" s="1443"/>
      <c r="AR481" s="1443"/>
      <c r="AS481" s="1443"/>
      <c r="AT481" s="144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8" t="s">
        <v>394</v>
      </c>
      <c r="R485" s="1459"/>
      <c r="S485" s="1459"/>
      <c r="T485" s="1459"/>
      <c r="U485" s="1459"/>
      <c r="V485" s="1459"/>
      <c r="W485" s="1459"/>
      <c r="X485" s="1459"/>
      <c r="Y485" s="1459"/>
      <c r="Z485" s="1459"/>
      <c r="AA485" s="1459"/>
      <c r="AB485" s="1459"/>
      <c r="AC485" s="1459"/>
      <c r="AD485" s="1459"/>
      <c r="AE485" s="1459"/>
      <c r="AF485" s="1459"/>
      <c r="AG485" s="1459"/>
      <c r="AH485" s="1459"/>
      <c r="AI485" s="1459"/>
      <c r="AJ485" s="1459"/>
      <c r="AK485" s="146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56" t="s">
        <v>2719</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457"/>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56" t="s">
        <v>2761</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457"/>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56" t="s">
        <v>2762</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45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46" t="s">
        <v>398</v>
      </c>
      <c r="C489" s="1847"/>
      <c r="D489" s="1847"/>
      <c r="E489" s="1847"/>
      <c r="F489" s="1847"/>
      <c r="G489" s="1847"/>
      <c r="H489" s="1847"/>
      <c r="I489" s="1847"/>
      <c r="J489" s="1847"/>
      <c r="K489" s="1847"/>
      <c r="L489" s="1847"/>
      <c r="M489" s="1847"/>
      <c r="N489" s="1847"/>
      <c r="O489" s="1847"/>
      <c r="P489" s="1848"/>
      <c r="Q489" s="1852" t="s">
        <v>678</v>
      </c>
      <c r="R489" s="1853"/>
      <c r="S489" s="1856" t="s">
        <v>166</v>
      </c>
      <c r="T489" s="1857"/>
      <c r="U489" s="1857"/>
      <c r="V489" s="1857"/>
      <c r="W489" s="1857"/>
      <c r="X489" s="1857"/>
      <c r="Y489" s="1857"/>
      <c r="Z489" s="1857"/>
      <c r="AA489" s="1857"/>
      <c r="AB489" s="1857"/>
      <c r="AC489" s="1857"/>
      <c r="AD489" s="1857"/>
      <c r="AE489" s="1857"/>
      <c r="AF489" s="1857"/>
      <c r="AG489" s="1857"/>
      <c r="AH489" s="1857"/>
      <c r="AI489" s="1857"/>
      <c r="AJ489" s="1857"/>
      <c r="AK489" s="185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49"/>
      <c r="C490" s="1850"/>
      <c r="D490" s="1850"/>
      <c r="E490" s="1850"/>
      <c r="F490" s="1850"/>
      <c r="G490" s="1850"/>
      <c r="H490" s="1850"/>
      <c r="I490" s="1850"/>
      <c r="J490" s="1850"/>
      <c r="K490" s="1850"/>
      <c r="L490" s="1850"/>
      <c r="M490" s="1850"/>
      <c r="N490" s="1850"/>
      <c r="O490" s="1850"/>
      <c r="P490" s="1851"/>
      <c r="Q490" s="1854"/>
      <c r="R490" s="1855"/>
      <c r="S490" s="1859"/>
      <c r="T490" s="1800"/>
      <c r="U490" s="1800"/>
      <c r="V490" s="1800"/>
      <c r="W490" s="1800"/>
      <c r="X490" s="1800"/>
      <c r="Y490" s="1800"/>
      <c r="Z490" s="1800"/>
      <c r="AA490" s="1800"/>
      <c r="AB490" s="1800"/>
      <c r="AC490" s="1800"/>
      <c r="AD490" s="1800"/>
      <c r="AE490" s="1800"/>
      <c r="AF490" s="1800"/>
      <c r="AG490" s="1800"/>
      <c r="AH490" s="1800"/>
      <c r="AI490" s="1800"/>
      <c r="AJ490" s="1800"/>
      <c r="AK490" s="186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1785</v>
      </c>
      <c r="C491" s="907"/>
      <c r="D491" s="907"/>
      <c r="E491" s="907"/>
      <c r="F491" s="907"/>
      <c r="G491" s="907"/>
      <c r="H491" s="907"/>
      <c r="I491" s="907"/>
      <c r="J491" s="907"/>
      <c r="K491" s="907"/>
      <c r="L491" s="907"/>
      <c r="M491" s="907"/>
      <c r="N491" s="907"/>
      <c r="O491" s="907"/>
      <c r="P491" s="907"/>
      <c r="Q491" s="1861" t="s">
        <v>2763</v>
      </c>
      <c r="R491" s="1862"/>
      <c r="S491" s="1862"/>
      <c r="T491" s="1862"/>
      <c r="U491" s="1862"/>
      <c r="V491" s="1862"/>
      <c r="W491" s="1862"/>
      <c r="X491" s="1862"/>
      <c r="Y491" s="1862"/>
      <c r="Z491" s="1862"/>
      <c r="AA491" s="1862"/>
      <c r="AB491" s="1862"/>
      <c r="AC491" s="1862"/>
      <c r="AD491" s="1862"/>
      <c r="AE491" s="1862"/>
      <c r="AF491" s="1862"/>
      <c r="AG491" s="1862"/>
      <c r="AH491" s="1862"/>
      <c r="AI491" s="1862"/>
      <c r="AJ491" s="1862"/>
      <c r="AK491" s="186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56" t="s">
        <v>2764</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45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56" t="s">
        <v>2765</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45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1782</v>
      </c>
      <c r="C494" s="5"/>
      <c r="D494" s="5"/>
      <c r="E494" s="5"/>
      <c r="F494" s="5"/>
      <c r="G494" s="5"/>
      <c r="H494" s="5"/>
      <c r="I494" s="5"/>
      <c r="J494" s="5"/>
      <c r="K494" s="5"/>
      <c r="L494" s="5"/>
      <c r="M494" s="5"/>
      <c r="N494" s="5"/>
      <c r="O494" s="5"/>
      <c r="P494" s="5"/>
      <c r="Q494" s="1724">
        <v>149</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45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1783</v>
      </c>
      <c r="C495" s="5"/>
      <c r="D495" s="5"/>
      <c r="E495" s="5"/>
      <c r="F495" s="5"/>
      <c r="G495" s="5"/>
      <c r="H495" s="5"/>
      <c r="I495" s="5"/>
      <c r="J495" s="5"/>
      <c r="K495" s="5"/>
      <c r="L495" s="5"/>
      <c r="M495" s="1423">
        <v>142</v>
      </c>
      <c r="N495" s="1424"/>
      <c r="O495" s="1424"/>
      <c r="P495" s="1425"/>
      <c r="Q495" s="121" t="s">
        <v>1784</v>
      </c>
      <c r="R495" s="5"/>
      <c r="S495" s="5"/>
      <c r="T495" s="5"/>
      <c r="U495" s="5"/>
      <c r="V495" s="5"/>
      <c r="W495" s="5"/>
      <c r="X495" s="5"/>
      <c r="Y495" s="5"/>
      <c r="Z495" s="5"/>
      <c r="AA495" s="5"/>
      <c r="AB495" s="5"/>
      <c r="AC495" s="5"/>
      <c r="AD495" s="5"/>
      <c r="AE495" s="5"/>
      <c r="AF495" s="5"/>
      <c r="AG495" s="5"/>
      <c r="AH495" s="1423">
        <v>7</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8" t="s">
        <v>402</v>
      </c>
      <c r="AD499" s="1459"/>
      <c r="AE499" s="1459"/>
      <c r="AF499" s="1459"/>
      <c r="AG499" s="1459"/>
      <c r="AH499" s="1459"/>
      <c r="AI499" s="1459"/>
      <c r="AJ499" s="1459"/>
      <c r="AK499" s="1460"/>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8" t="s">
        <v>403</v>
      </c>
      <c r="AD500" s="1459"/>
      <c r="AE500" s="1459"/>
      <c r="AF500" s="1459"/>
      <c r="AG500" s="50" t="s">
        <v>404</v>
      </c>
      <c r="AH500" s="1459" t="s">
        <v>405</v>
      </c>
      <c r="AI500" s="1459"/>
      <c r="AJ500" s="1459"/>
      <c r="AK500" s="1460"/>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67" t="s">
        <v>406</v>
      </c>
      <c r="C501" s="1468"/>
      <c r="D501" s="1468"/>
      <c r="E501" s="1468"/>
      <c r="F501" s="1468"/>
      <c r="G501" s="1468"/>
      <c r="H501" s="1469"/>
      <c r="I501" s="42" t="s">
        <v>407</v>
      </c>
      <c r="J501" s="42"/>
      <c r="K501" s="42"/>
      <c r="L501" s="42"/>
      <c r="M501" s="42"/>
      <c r="N501" s="42"/>
      <c r="O501" s="42"/>
      <c r="P501" s="42"/>
      <c r="Q501" s="42"/>
      <c r="R501" s="42"/>
      <c r="S501" s="42"/>
      <c r="T501" s="42"/>
      <c r="U501" s="42"/>
      <c r="V501" s="42"/>
      <c r="W501" s="42"/>
      <c r="AC501" s="1707">
        <v>3</v>
      </c>
      <c r="AD501" s="1693"/>
      <c r="AE501" s="1693"/>
      <c r="AF501" s="1693"/>
      <c r="AG501" s="13" t="s">
        <v>404</v>
      </c>
      <c r="AH501" s="1396">
        <v>2024</v>
      </c>
      <c r="AI501" s="1396"/>
      <c r="AJ501" s="1396"/>
      <c r="AK501" s="139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70"/>
      <c r="C502" s="1471"/>
      <c r="D502" s="1471"/>
      <c r="E502" s="1471"/>
      <c r="F502" s="1471"/>
      <c r="G502" s="1471"/>
      <c r="H502" s="1472"/>
      <c r="I502" s="48" t="s">
        <v>408</v>
      </c>
      <c r="J502" s="48"/>
      <c r="K502" s="48"/>
      <c r="L502" s="48"/>
      <c r="M502" s="48"/>
      <c r="N502" s="48"/>
      <c r="O502" s="48"/>
      <c r="P502" s="48"/>
      <c r="Q502" s="48"/>
      <c r="R502" s="48"/>
      <c r="S502" s="48"/>
      <c r="T502" s="48"/>
      <c r="U502" s="48"/>
      <c r="V502" s="48"/>
      <c r="W502" s="48"/>
      <c r="X502" s="48"/>
      <c r="Y502" s="48"/>
      <c r="Z502" s="48"/>
      <c r="AA502" s="48"/>
      <c r="AB502" s="48"/>
      <c r="AC502" s="1707">
        <v>3</v>
      </c>
      <c r="AD502" s="1693"/>
      <c r="AE502" s="1693"/>
      <c r="AF502" s="1693"/>
      <c r="AG502" s="38" t="s">
        <v>404</v>
      </c>
      <c r="AH502" s="1396">
        <v>2025</v>
      </c>
      <c r="AI502" s="1396"/>
      <c r="AJ502" s="1396"/>
      <c r="AK502" s="139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67" t="s">
        <v>409</v>
      </c>
      <c r="C503" s="1468"/>
      <c r="D503" s="1468"/>
      <c r="E503" s="1468"/>
      <c r="F503" s="1468"/>
      <c r="G503" s="1468"/>
      <c r="H503" s="1469"/>
      <c r="I503" s="42" t="s">
        <v>410</v>
      </c>
      <c r="J503" s="42"/>
      <c r="K503" s="42"/>
      <c r="L503" s="42"/>
      <c r="M503" s="42"/>
      <c r="N503" s="42"/>
      <c r="O503" s="42"/>
      <c r="P503" s="42"/>
      <c r="Q503" s="42"/>
      <c r="R503" s="42"/>
      <c r="S503" s="42"/>
      <c r="T503" s="42"/>
      <c r="U503" s="42"/>
      <c r="V503" s="42"/>
      <c r="W503" s="42"/>
      <c r="AC503" s="1707" t="s">
        <v>600</v>
      </c>
      <c r="AD503" s="1693"/>
      <c r="AE503" s="1693"/>
      <c r="AF503" s="1693"/>
      <c r="AG503" s="13" t="s">
        <v>404</v>
      </c>
      <c r="AH503" s="1396"/>
      <c r="AI503" s="1396"/>
      <c r="AJ503" s="1396"/>
      <c r="AK503" s="139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70"/>
      <c r="C504" s="1471"/>
      <c r="D504" s="1471"/>
      <c r="E504" s="1471"/>
      <c r="F504" s="1471"/>
      <c r="G504" s="1471"/>
      <c r="H504" s="1472"/>
      <c r="I504" t="s">
        <v>411</v>
      </c>
      <c r="AC504" s="1707" t="s">
        <v>600</v>
      </c>
      <c r="AD504" s="1693"/>
      <c r="AE504" s="1693"/>
      <c r="AF504" s="1693"/>
      <c r="AG504" s="13" t="s">
        <v>404</v>
      </c>
      <c r="AH504" s="1396"/>
      <c r="AI504" s="1396"/>
      <c r="AJ504" s="1396"/>
      <c r="AK504" s="139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70"/>
      <c r="C505" s="1471"/>
      <c r="D505" s="1471"/>
      <c r="E505" s="1471"/>
      <c r="F505" s="1471"/>
      <c r="G505" s="1471"/>
      <c r="H505" s="1472"/>
      <c r="I505" t="s">
        <v>412</v>
      </c>
      <c r="AC505" s="1707" t="s">
        <v>600</v>
      </c>
      <c r="AD505" s="1693"/>
      <c r="AE505" s="1693"/>
      <c r="AF505" s="1693"/>
      <c r="AG505" s="13" t="s">
        <v>404</v>
      </c>
      <c r="AH505" s="1396"/>
      <c r="AI505" s="1396"/>
      <c r="AJ505" s="1396"/>
      <c r="AK505" s="139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70"/>
      <c r="C506" s="1471"/>
      <c r="D506" s="1471"/>
      <c r="E506" s="1471"/>
      <c r="F506" s="1471"/>
      <c r="G506" s="1471"/>
      <c r="H506" s="1472"/>
      <c r="I506" t="s">
        <v>413</v>
      </c>
      <c r="AC506" s="1707">
        <v>8</v>
      </c>
      <c r="AD506" s="1693"/>
      <c r="AE506" s="1693"/>
      <c r="AF506" s="1693"/>
      <c r="AG506" s="13" t="s">
        <v>404</v>
      </c>
      <c r="AH506" s="1396">
        <v>2022</v>
      </c>
      <c r="AI506" s="1396"/>
      <c r="AJ506" s="1396"/>
      <c r="AK506" s="139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70"/>
      <c r="C507" s="1471"/>
      <c r="D507" s="1471"/>
      <c r="E507" s="1471"/>
      <c r="F507" s="1471"/>
      <c r="G507" s="1471"/>
      <c r="H507" s="1472"/>
      <c r="I507" s="3" t="s">
        <v>414</v>
      </c>
      <c r="AC507" s="1359">
        <v>11</v>
      </c>
      <c r="AD507" s="1360"/>
      <c r="AE507" s="1360"/>
      <c r="AF507" s="1360"/>
      <c r="AG507" s="13" t="s">
        <v>404</v>
      </c>
      <c r="AH507" s="1396">
        <v>2022</v>
      </c>
      <c r="AI507" s="1396"/>
      <c r="AJ507" s="1396"/>
      <c r="AK507" s="139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70"/>
      <c r="C508" s="1471"/>
      <c r="D508" s="1471"/>
      <c r="E508" s="1471"/>
      <c r="F508" s="1471"/>
      <c r="G508" s="1471"/>
      <c r="H508" s="1472"/>
      <c r="I508" s="931" t="s">
        <v>170</v>
      </c>
      <c r="J508" s="48"/>
      <c r="K508" s="48"/>
      <c r="L508" s="1708" t="s">
        <v>2766</v>
      </c>
      <c r="M508" s="1709"/>
      <c r="N508" s="1709"/>
      <c r="O508" s="1709"/>
      <c r="P508" s="1709"/>
      <c r="Q508" s="1709"/>
      <c r="R508" s="1709"/>
      <c r="S508" s="1709"/>
      <c r="T508" s="1709"/>
      <c r="U508" s="1709"/>
      <c r="V508" s="1709"/>
      <c r="W508" s="1709"/>
      <c r="X508" s="1709"/>
      <c r="Y508" s="1709"/>
      <c r="Z508" s="1709"/>
      <c r="AA508" s="1709"/>
      <c r="AB508" s="1845"/>
      <c r="AC508" s="1707">
        <v>11</v>
      </c>
      <c r="AD508" s="1693"/>
      <c r="AE508" s="1693"/>
      <c r="AF508" s="1693"/>
      <c r="AG508" s="38" t="s">
        <v>404</v>
      </c>
      <c r="AH508" s="1396">
        <v>2022</v>
      </c>
      <c r="AI508" s="1396"/>
      <c r="AJ508" s="1396"/>
      <c r="AK508" s="139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1789</v>
      </c>
      <c r="AC509" s="1770" t="s">
        <v>1291</v>
      </c>
      <c r="AD509" s="1770"/>
      <c r="AE509" s="1770"/>
      <c r="AF509" s="1770"/>
      <c r="AG509" s="13"/>
      <c r="AH509" s="1301"/>
      <c r="AI509" s="1301"/>
      <c r="AJ509" s="1301"/>
      <c r="AK509" s="1842"/>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1786</v>
      </c>
      <c r="AC510" s="1359"/>
      <c r="AD510" s="1360"/>
      <c r="AE510" s="1360"/>
      <c r="AF510" s="1361"/>
      <c r="AG510" s="13"/>
      <c r="AH510" s="1301"/>
      <c r="AI510" s="1301"/>
      <c r="AJ510" s="1301"/>
      <c r="AK510" s="1842"/>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867"/>
      <c r="AD512" s="1868"/>
      <c r="AE512" s="1868"/>
      <c r="AF512" s="1869"/>
      <c r="AG512" s="38"/>
      <c r="AH512" s="1870"/>
      <c r="AI512" s="1870"/>
      <c r="AJ512" s="1870"/>
      <c r="AK512" s="1871"/>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43" t="s">
        <v>403</v>
      </c>
      <c r="AD513" s="1731"/>
      <c r="AE513" s="1731"/>
      <c r="AF513" s="1731"/>
      <c r="AG513" s="38" t="s">
        <v>404</v>
      </c>
      <c r="AH513" s="1731" t="s">
        <v>405</v>
      </c>
      <c r="AI513" s="1731"/>
      <c r="AJ513" s="1731"/>
      <c r="AK513" s="1844"/>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67" t="s">
        <v>415</v>
      </c>
      <c r="C514" s="1468"/>
      <c r="D514" s="1468"/>
      <c r="E514" s="1468"/>
      <c r="F514" s="1468"/>
      <c r="G514" s="1468"/>
      <c r="H514" s="1469"/>
      <c r="I514" s="42" t="s">
        <v>416</v>
      </c>
      <c r="J514" s="42"/>
      <c r="K514" s="42"/>
      <c r="L514" s="42"/>
      <c r="M514" s="42"/>
      <c r="N514" s="42"/>
      <c r="O514" s="42"/>
      <c r="P514" s="42"/>
      <c r="Q514" s="42"/>
      <c r="R514" s="42"/>
      <c r="S514" s="42"/>
      <c r="T514" s="42"/>
      <c r="U514" s="42"/>
      <c r="V514" s="42"/>
      <c r="W514" s="42"/>
      <c r="AC514" s="1707">
        <v>8</v>
      </c>
      <c r="AD514" s="1693"/>
      <c r="AE514" s="1693"/>
      <c r="AF514" s="1693"/>
      <c r="AG514" s="13" t="s">
        <v>404</v>
      </c>
      <c r="AH514" s="1396">
        <v>2024</v>
      </c>
      <c r="AI514" s="1396"/>
      <c r="AJ514" s="1396"/>
      <c r="AK514" s="1397"/>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70"/>
      <c r="C515" s="1471"/>
      <c r="D515" s="1471"/>
      <c r="E515" s="1471"/>
      <c r="F515" s="1471"/>
      <c r="G515" s="1471"/>
      <c r="H515" s="1472"/>
      <c r="I515" t="s">
        <v>417</v>
      </c>
      <c r="AC515" s="1707">
        <v>8</v>
      </c>
      <c r="AD515" s="1693"/>
      <c r="AE515" s="1693"/>
      <c r="AF515" s="1693"/>
      <c r="AG515" s="13" t="s">
        <v>404</v>
      </c>
      <c r="AH515" s="1396">
        <v>2024</v>
      </c>
      <c r="AI515" s="1396"/>
      <c r="AJ515" s="1396"/>
      <c r="AK515" s="1397"/>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70"/>
      <c r="C516" s="1471"/>
      <c r="D516" s="1471"/>
      <c r="E516" s="1471"/>
      <c r="F516" s="1471"/>
      <c r="G516" s="1471"/>
      <c r="H516" s="1472"/>
      <c r="I516" s="48" t="s">
        <v>418</v>
      </c>
      <c r="J516" s="48"/>
      <c r="K516" s="48"/>
      <c r="L516" s="48"/>
      <c r="M516" s="48"/>
      <c r="N516" s="48"/>
      <c r="O516" s="48"/>
      <c r="P516" s="48"/>
      <c r="Q516" s="48"/>
      <c r="R516" s="48"/>
      <c r="S516" s="48"/>
      <c r="T516" s="48"/>
      <c r="U516" s="48"/>
      <c r="V516" s="48"/>
      <c r="W516" s="48"/>
      <c r="X516" s="48"/>
      <c r="Y516" s="48"/>
      <c r="Z516" s="48"/>
      <c r="AA516" s="48"/>
      <c r="AB516" s="48"/>
      <c r="AC516" s="1707">
        <v>3</v>
      </c>
      <c r="AD516" s="1693"/>
      <c r="AE516" s="1693"/>
      <c r="AF516" s="1693"/>
      <c r="AG516" s="38" t="s">
        <v>404</v>
      </c>
      <c r="AH516" s="1396">
        <v>2025</v>
      </c>
      <c r="AI516" s="1396"/>
      <c r="AJ516" s="1396"/>
      <c r="AK516" s="1397"/>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67" t="s">
        <v>419</v>
      </c>
      <c r="C517" s="1468"/>
      <c r="D517" s="1468"/>
      <c r="E517" s="1468"/>
      <c r="F517" s="1468"/>
      <c r="G517" s="1468"/>
      <c r="H517" s="1469"/>
      <c r="I517" s="42" t="s">
        <v>416</v>
      </c>
      <c r="J517" s="42"/>
      <c r="K517" s="42"/>
      <c r="L517" s="42"/>
      <c r="M517" s="42"/>
      <c r="N517" s="42"/>
      <c r="O517" s="42"/>
      <c r="P517" s="42"/>
      <c r="Q517" s="42"/>
      <c r="R517" s="42"/>
      <c r="S517" s="42"/>
      <c r="T517" s="42"/>
      <c r="U517" s="42"/>
      <c r="V517" s="42"/>
      <c r="W517" s="42"/>
      <c r="X517" s="42"/>
      <c r="Y517" s="42"/>
      <c r="Z517" s="42"/>
      <c r="AA517" s="42"/>
      <c r="AB517" s="42"/>
      <c r="AC517" s="1359">
        <v>8</v>
      </c>
      <c r="AD517" s="1360"/>
      <c r="AE517" s="1360"/>
      <c r="AF517" s="1360"/>
      <c r="AG517" s="129" t="s">
        <v>404</v>
      </c>
      <c r="AH517" s="1396">
        <v>2024</v>
      </c>
      <c r="AI517" s="1396"/>
      <c r="AJ517" s="1396"/>
      <c r="AK517" s="1397"/>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70"/>
      <c r="C518" s="1471"/>
      <c r="D518" s="1471"/>
      <c r="E518" s="1471"/>
      <c r="F518" s="1471"/>
      <c r="G518" s="1471"/>
      <c r="H518" s="1472"/>
      <c r="I518" t="s">
        <v>417</v>
      </c>
      <c r="AC518" s="1707">
        <v>8</v>
      </c>
      <c r="AD518" s="1693"/>
      <c r="AE518" s="1693"/>
      <c r="AF518" s="1693"/>
      <c r="AG518" s="13" t="s">
        <v>404</v>
      </c>
      <c r="AH518" s="1396">
        <v>2024</v>
      </c>
      <c r="AI518" s="1396"/>
      <c r="AJ518" s="1396"/>
      <c r="AK518" s="1397"/>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723"/>
      <c r="C519" s="1512"/>
      <c r="D519" s="1512"/>
      <c r="E519" s="1512"/>
      <c r="F519" s="1512"/>
      <c r="G519" s="1512"/>
      <c r="H519" s="1513"/>
      <c r="I519" s="48" t="s">
        <v>418</v>
      </c>
      <c r="J519" s="48"/>
      <c r="K519" s="48"/>
      <c r="L519" s="48"/>
      <c r="M519" s="48"/>
      <c r="N519" s="48"/>
      <c r="O519" s="48"/>
      <c r="P519" s="48"/>
      <c r="Q519" s="48"/>
      <c r="R519" s="48"/>
      <c r="S519" s="48"/>
      <c r="T519" s="48"/>
      <c r="U519" s="48"/>
      <c r="V519" s="48"/>
      <c r="W519" s="48"/>
      <c r="X519" s="48"/>
      <c r="Y519" s="48"/>
      <c r="Z519" s="48"/>
      <c r="AA519" s="48"/>
      <c r="AB519" s="48"/>
      <c r="AC519" s="1707">
        <v>9</v>
      </c>
      <c r="AD519" s="1693"/>
      <c r="AE519" s="1693"/>
      <c r="AF519" s="1693"/>
      <c r="AG519" s="38" t="s">
        <v>404</v>
      </c>
      <c r="AH519" s="1396">
        <v>2027</v>
      </c>
      <c r="AI519" s="1396"/>
      <c r="AJ519" s="1396"/>
      <c r="AK519" s="1397"/>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67" t="s">
        <v>420</v>
      </c>
      <c r="C520" s="1468"/>
      <c r="D520" s="1468"/>
      <c r="E520" s="1468"/>
      <c r="F520" s="1468"/>
      <c r="G520" s="1468"/>
      <c r="H520" s="1469"/>
      <c r="I520" s="41" t="s">
        <v>421</v>
      </c>
      <c r="J520" s="42"/>
      <c r="K520" s="42"/>
      <c r="L520" s="42"/>
      <c r="M520" s="42"/>
      <c r="N520" s="42"/>
      <c r="O520" s="1708" t="s">
        <v>2750</v>
      </c>
      <c r="P520" s="1709"/>
      <c r="Q520" s="1709"/>
      <c r="R520" s="1709"/>
      <c r="S520" s="1709"/>
      <c r="T520" s="1709"/>
      <c r="U520" s="1709"/>
      <c r="V520" s="1709"/>
      <c r="W520" s="1709"/>
      <c r="X520" s="1709"/>
      <c r="Y520" s="1709"/>
      <c r="Z520" s="1709"/>
      <c r="AA520" s="1709"/>
      <c r="AB520" s="58"/>
      <c r="AC520" s="1359" t="s">
        <v>600</v>
      </c>
      <c r="AD520" s="1360"/>
      <c r="AE520" s="1360"/>
      <c r="AF520" s="1360"/>
      <c r="AG520" s="129" t="s">
        <v>404</v>
      </c>
      <c r="AH520" s="1396"/>
      <c r="AI520" s="1396"/>
      <c r="AJ520" s="1396"/>
      <c r="AK520" s="1397"/>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70"/>
      <c r="C521" s="1471"/>
      <c r="D521" s="1471"/>
      <c r="E521" s="1471"/>
      <c r="F521" s="1471"/>
      <c r="G521" s="1471"/>
      <c r="H521" s="1472"/>
      <c r="I521" s="114" t="s">
        <v>422</v>
      </c>
      <c r="AB521" s="65"/>
      <c r="AC521" s="1707">
        <v>3</v>
      </c>
      <c r="AD521" s="1693"/>
      <c r="AE521" s="1693"/>
      <c r="AF521" s="1693"/>
      <c r="AG521" s="13" t="s">
        <v>404</v>
      </c>
      <c r="AH521" s="1396">
        <v>2024</v>
      </c>
      <c r="AI521" s="1396"/>
      <c r="AJ521" s="1396"/>
      <c r="AK521" s="1397"/>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70"/>
      <c r="C522" s="1471"/>
      <c r="D522" s="1471"/>
      <c r="E522" s="1471"/>
      <c r="F522" s="1471"/>
      <c r="G522" s="1471"/>
      <c r="H522" s="1472"/>
      <c r="I522" s="47" t="s">
        <v>423</v>
      </c>
      <c r="J522" s="48"/>
      <c r="K522" s="48"/>
      <c r="L522" s="48"/>
      <c r="M522" s="48"/>
      <c r="N522" s="48"/>
      <c r="O522" s="48"/>
      <c r="P522" s="48"/>
      <c r="Q522" s="48"/>
      <c r="R522" s="48"/>
      <c r="S522" s="48"/>
      <c r="T522" s="48"/>
      <c r="U522" s="48"/>
      <c r="V522" s="48"/>
      <c r="W522" s="48"/>
      <c r="X522" s="48"/>
      <c r="Y522" s="48"/>
      <c r="Z522" s="48"/>
      <c r="AA522" s="48"/>
      <c r="AB522" s="49"/>
      <c r="AC522" s="1707">
        <v>9</v>
      </c>
      <c r="AD522" s="1693"/>
      <c r="AE522" s="1693"/>
      <c r="AF522" s="1693"/>
      <c r="AG522" s="38" t="s">
        <v>404</v>
      </c>
      <c r="AH522" s="1396">
        <v>2027</v>
      </c>
      <c r="AI522" s="1396"/>
      <c r="AJ522" s="1396"/>
      <c r="AK522" s="1397"/>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70"/>
      <c r="C523" s="1471"/>
      <c r="D523" s="1471"/>
      <c r="E523" s="1471"/>
      <c r="F523" s="1471"/>
      <c r="G523" s="1471"/>
      <c r="H523" s="1472"/>
      <c r="I523" s="42" t="s">
        <v>424</v>
      </c>
      <c r="J523" s="42"/>
      <c r="K523" s="42"/>
      <c r="L523" s="42"/>
      <c r="M523" s="42"/>
      <c r="N523" s="42"/>
      <c r="O523" s="1708" t="s">
        <v>335</v>
      </c>
      <c r="P523" s="1709"/>
      <c r="Q523" s="1709"/>
      <c r="R523" s="1709"/>
      <c r="S523" s="1709"/>
      <c r="T523" s="1709"/>
      <c r="U523" s="1709"/>
      <c r="V523" s="1709"/>
      <c r="W523" s="1709"/>
      <c r="X523" s="1709"/>
      <c r="Y523" s="1709"/>
      <c r="Z523" s="1709"/>
      <c r="AA523" s="1709"/>
      <c r="AC523" s="1707" t="s">
        <v>600</v>
      </c>
      <c r="AD523" s="1693"/>
      <c r="AE523" s="1693"/>
      <c r="AF523" s="1693"/>
      <c r="AG523" s="13" t="s">
        <v>404</v>
      </c>
      <c r="AH523" s="1396"/>
      <c r="AI523" s="1396"/>
      <c r="AJ523" s="1396"/>
      <c r="AK523" s="1397"/>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70"/>
      <c r="C524" s="1471"/>
      <c r="D524" s="1471"/>
      <c r="E524" s="1471"/>
      <c r="F524" s="1471"/>
      <c r="G524" s="1471"/>
      <c r="H524" s="1472"/>
      <c r="I524" t="s">
        <v>422</v>
      </c>
      <c r="AC524" s="1707" t="s">
        <v>600</v>
      </c>
      <c r="AD524" s="1693"/>
      <c r="AE524" s="1693"/>
      <c r="AF524" s="1693"/>
      <c r="AG524" s="13" t="s">
        <v>404</v>
      </c>
      <c r="AH524" s="1396"/>
      <c r="AI524" s="1396"/>
      <c r="AJ524" s="1396"/>
      <c r="AK524" s="1397"/>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70"/>
      <c r="C525" s="1471"/>
      <c r="D525" s="1471"/>
      <c r="E525" s="1471"/>
      <c r="F525" s="1471"/>
      <c r="G525" s="1471"/>
      <c r="H525" s="1472"/>
      <c r="I525" s="48" t="s">
        <v>423</v>
      </c>
      <c r="J525" s="48"/>
      <c r="K525" s="48"/>
      <c r="L525" s="48"/>
      <c r="M525" s="48"/>
      <c r="N525" s="48"/>
      <c r="O525" s="48"/>
      <c r="P525" s="48"/>
      <c r="Q525" s="48"/>
      <c r="R525" s="48"/>
      <c r="S525" s="48"/>
      <c r="T525" s="48"/>
      <c r="U525" s="48"/>
      <c r="V525" s="48"/>
      <c r="W525" s="48"/>
      <c r="X525" s="48"/>
      <c r="Y525" s="48"/>
      <c r="Z525" s="48"/>
      <c r="AA525" s="48"/>
      <c r="AB525" s="48"/>
      <c r="AC525" s="1707" t="s">
        <v>600</v>
      </c>
      <c r="AD525" s="1693"/>
      <c r="AE525" s="1693"/>
      <c r="AF525" s="1693"/>
      <c r="AG525" s="38" t="s">
        <v>404</v>
      </c>
      <c r="AH525" s="1396"/>
      <c r="AI525" s="1396"/>
      <c r="AJ525" s="1396"/>
      <c r="AK525" s="1397"/>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70"/>
      <c r="C526" s="1471"/>
      <c r="D526" s="1471"/>
      <c r="E526" s="1471"/>
      <c r="F526" s="1471"/>
      <c r="G526" s="1471"/>
      <c r="H526" s="1472"/>
      <c r="I526" s="42" t="s">
        <v>424</v>
      </c>
      <c r="J526" s="42"/>
      <c r="K526" s="42"/>
      <c r="L526" s="42"/>
      <c r="M526" s="42"/>
      <c r="N526" s="42"/>
      <c r="O526" s="1708" t="s">
        <v>335</v>
      </c>
      <c r="P526" s="1709"/>
      <c r="Q526" s="1709"/>
      <c r="R526" s="1709"/>
      <c r="S526" s="1709"/>
      <c r="T526" s="1709"/>
      <c r="U526" s="1709"/>
      <c r="V526" s="1709"/>
      <c r="W526" s="1709"/>
      <c r="X526" s="1709"/>
      <c r="Y526" s="1709"/>
      <c r="Z526" s="1709"/>
      <c r="AA526" s="1709"/>
      <c r="AC526" s="1707" t="s">
        <v>600</v>
      </c>
      <c r="AD526" s="1693"/>
      <c r="AE526" s="1693"/>
      <c r="AF526" s="1693"/>
      <c r="AG526" s="13" t="s">
        <v>404</v>
      </c>
      <c r="AH526" s="1396"/>
      <c r="AI526" s="1396"/>
      <c r="AJ526" s="1396"/>
      <c r="AK526" s="1397"/>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70"/>
      <c r="C527" s="1471"/>
      <c r="D527" s="1471"/>
      <c r="E527" s="1471"/>
      <c r="F527" s="1471"/>
      <c r="G527" s="1471"/>
      <c r="H527" s="1472"/>
      <c r="I527" t="s">
        <v>422</v>
      </c>
      <c r="AC527" s="1707" t="s">
        <v>600</v>
      </c>
      <c r="AD527" s="1693"/>
      <c r="AE527" s="1693"/>
      <c r="AF527" s="1693"/>
      <c r="AG527" s="13" t="s">
        <v>404</v>
      </c>
      <c r="AH527" s="1396"/>
      <c r="AI527" s="1396"/>
      <c r="AJ527" s="1396"/>
      <c r="AK527" s="1397"/>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70"/>
      <c r="C528" s="1471"/>
      <c r="D528" s="1471"/>
      <c r="E528" s="1471"/>
      <c r="F528" s="1471"/>
      <c r="G528" s="1471"/>
      <c r="H528" s="1472"/>
      <c r="I528" s="48" t="s">
        <v>423</v>
      </c>
      <c r="J528" s="48"/>
      <c r="K528" s="48"/>
      <c r="L528" s="48"/>
      <c r="M528" s="48"/>
      <c r="N528" s="48"/>
      <c r="O528" s="48"/>
      <c r="P528" s="48"/>
      <c r="Q528" s="48"/>
      <c r="R528" s="48"/>
      <c r="S528" s="48"/>
      <c r="T528" s="48"/>
      <c r="U528" s="48"/>
      <c r="V528" s="48"/>
      <c r="W528" s="48"/>
      <c r="X528" s="48"/>
      <c r="Y528" s="48"/>
      <c r="Z528" s="48"/>
      <c r="AA528" s="48"/>
      <c r="AB528" s="48"/>
      <c r="AC528" s="1707" t="s">
        <v>600</v>
      </c>
      <c r="AD528" s="1693"/>
      <c r="AE528" s="1693"/>
      <c r="AF528" s="1693"/>
      <c r="AG528" s="38" t="s">
        <v>404</v>
      </c>
      <c r="AH528" s="1396"/>
      <c r="AI528" s="1396"/>
      <c r="AJ528" s="1396"/>
      <c r="AK528" s="1397"/>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70"/>
      <c r="C529" s="1471"/>
      <c r="D529" s="1471"/>
      <c r="E529" s="1471"/>
      <c r="F529" s="1471"/>
      <c r="G529" s="1471"/>
      <c r="H529" s="1472"/>
      <c r="I529" s="42" t="s">
        <v>424</v>
      </c>
      <c r="J529" s="42"/>
      <c r="K529" s="42"/>
      <c r="L529" s="42"/>
      <c r="M529" s="42"/>
      <c r="N529" s="42"/>
      <c r="O529" s="1708" t="s">
        <v>335</v>
      </c>
      <c r="P529" s="1709"/>
      <c r="Q529" s="1709"/>
      <c r="R529" s="1709"/>
      <c r="S529" s="1709"/>
      <c r="T529" s="1709"/>
      <c r="U529" s="1709"/>
      <c r="V529" s="1709"/>
      <c r="W529" s="1709"/>
      <c r="X529" s="1709"/>
      <c r="Y529" s="1709"/>
      <c r="Z529" s="1709"/>
      <c r="AA529" s="1709"/>
      <c r="AC529" s="1707" t="s">
        <v>600</v>
      </c>
      <c r="AD529" s="1693"/>
      <c r="AE529" s="1693"/>
      <c r="AF529" s="1693"/>
      <c r="AG529" s="13" t="s">
        <v>404</v>
      </c>
      <c r="AH529" s="1396"/>
      <c r="AI529" s="1396"/>
      <c r="AJ529" s="1396"/>
      <c r="AK529" s="1397"/>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70"/>
      <c r="C530" s="1471"/>
      <c r="D530" s="1471"/>
      <c r="E530" s="1471"/>
      <c r="F530" s="1471"/>
      <c r="G530" s="1471"/>
      <c r="H530" s="1472"/>
      <c r="I530" t="s">
        <v>422</v>
      </c>
      <c r="AC530" s="1707" t="s">
        <v>600</v>
      </c>
      <c r="AD530" s="1693"/>
      <c r="AE530" s="1693"/>
      <c r="AF530" s="1693"/>
      <c r="AG530" s="13" t="s">
        <v>404</v>
      </c>
      <c r="AH530" s="1396"/>
      <c r="AI530" s="1396"/>
      <c r="AJ530" s="1396"/>
      <c r="AK530" s="1397"/>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70"/>
      <c r="C531" s="1471"/>
      <c r="D531" s="1471"/>
      <c r="E531" s="1471"/>
      <c r="F531" s="1471"/>
      <c r="G531" s="1471"/>
      <c r="H531" s="1472"/>
      <c r="I531" s="48" t="s">
        <v>423</v>
      </c>
      <c r="J531" s="48"/>
      <c r="K531" s="48"/>
      <c r="L531" s="48"/>
      <c r="M531" s="48"/>
      <c r="N531" s="48"/>
      <c r="O531" s="48"/>
      <c r="P531" s="48"/>
      <c r="Q531" s="48"/>
      <c r="R531" s="48"/>
      <c r="S531" s="48"/>
      <c r="T531" s="48"/>
      <c r="U531" s="48"/>
      <c r="V531" s="48"/>
      <c r="W531" s="48"/>
      <c r="X531" s="48"/>
      <c r="Y531" s="48"/>
      <c r="Z531" s="48"/>
      <c r="AA531" s="48"/>
      <c r="AB531" s="48"/>
      <c r="AC531" s="1707" t="s">
        <v>600</v>
      </c>
      <c r="AD531" s="1693"/>
      <c r="AE531" s="1693"/>
      <c r="AF531" s="1693"/>
      <c r="AG531" s="38" t="s">
        <v>404</v>
      </c>
      <c r="AH531" s="1396"/>
      <c r="AI531" s="1396"/>
      <c r="AJ531" s="1396"/>
      <c r="AK531" s="1397"/>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70"/>
      <c r="C532" s="1471"/>
      <c r="D532" s="1471"/>
      <c r="E532" s="1471"/>
      <c r="F532" s="1471"/>
      <c r="G532" s="1471"/>
      <c r="H532" s="1472"/>
      <c r="I532" s="42" t="s">
        <v>424</v>
      </c>
      <c r="J532" s="42"/>
      <c r="K532" s="42"/>
      <c r="L532" s="42"/>
      <c r="M532" s="42"/>
      <c r="N532" s="42"/>
      <c r="O532" s="1708" t="s">
        <v>335</v>
      </c>
      <c r="P532" s="1709"/>
      <c r="Q532" s="1709"/>
      <c r="R532" s="1709"/>
      <c r="S532" s="1709"/>
      <c r="T532" s="1709"/>
      <c r="U532" s="1709"/>
      <c r="V532" s="1709"/>
      <c r="W532" s="1709"/>
      <c r="X532" s="1709"/>
      <c r="Y532" s="1709"/>
      <c r="Z532" s="1709"/>
      <c r="AA532" s="1709"/>
      <c r="AC532" s="1707" t="s">
        <v>600</v>
      </c>
      <c r="AD532" s="1693"/>
      <c r="AE532" s="1693"/>
      <c r="AF532" s="1693"/>
      <c r="AG532" s="13" t="s">
        <v>404</v>
      </c>
      <c r="AH532" s="1396"/>
      <c r="AI532" s="1396"/>
      <c r="AJ532" s="1396"/>
      <c r="AK532" s="1397"/>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70"/>
      <c r="C533" s="1471"/>
      <c r="D533" s="1471"/>
      <c r="E533" s="1471"/>
      <c r="F533" s="1471"/>
      <c r="G533" s="1471"/>
      <c r="H533" s="1472"/>
      <c r="I533" t="s">
        <v>422</v>
      </c>
      <c r="AC533" s="1707" t="s">
        <v>600</v>
      </c>
      <c r="AD533" s="1693"/>
      <c r="AE533" s="1693"/>
      <c r="AF533" s="1693"/>
      <c r="AG533" s="38" t="s">
        <v>404</v>
      </c>
      <c r="AH533" s="1396"/>
      <c r="AI533" s="1396"/>
      <c r="AJ533" s="1396"/>
      <c r="AK533" s="1397"/>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70"/>
      <c r="C534" s="1471"/>
      <c r="D534" s="1471"/>
      <c r="E534" s="1471"/>
      <c r="F534" s="1471"/>
      <c r="G534" s="1471"/>
      <c r="H534" s="1472"/>
      <c r="I534" s="48" t="s">
        <v>423</v>
      </c>
      <c r="J534" s="48"/>
      <c r="K534" s="48"/>
      <c r="L534" s="48"/>
      <c r="M534" s="48"/>
      <c r="N534" s="48"/>
      <c r="O534" s="48"/>
      <c r="P534" s="48"/>
      <c r="Q534" s="48"/>
      <c r="R534" s="48"/>
      <c r="S534" s="48"/>
      <c r="T534" s="48"/>
      <c r="U534" s="48"/>
      <c r="V534" s="48"/>
      <c r="W534" s="48"/>
      <c r="X534" s="48"/>
      <c r="Y534" s="48"/>
      <c r="Z534" s="48"/>
      <c r="AA534" s="48"/>
      <c r="AB534" s="48"/>
      <c r="AC534" s="1707" t="s">
        <v>600</v>
      </c>
      <c r="AD534" s="1693"/>
      <c r="AE534" s="1693"/>
      <c r="AF534" s="1693"/>
      <c r="AG534" s="13" t="s">
        <v>404</v>
      </c>
      <c r="AH534" s="1396"/>
      <c r="AI534" s="1396"/>
      <c r="AJ534" s="1396"/>
      <c r="AK534" s="1397"/>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70"/>
      <c r="C535" s="1471"/>
      <c r="D535" s="1471"/>
      <c r="E535" s="1471"/>
      <c r="F535" s="1471"/>
      <c r="G535" s="1471"/>
      <c r="H535" s="1472"/>
      <c r="I535" s="42" t="s">
        <v>424</v>
      </c>
      <c r="J535" s="42"/>
      <c r="K535" s="42"/>
      <c r="L535" s="42"/>
      <c r="M535" s="42"/>
      <c r="N535" s="42"/>
      <c r="O535" s="1708" t="s">
        <v>335</v>
      </c>
      <c r="P535" s="1709"/>
      <c r="Q535" s="1709"/>
      <c r="R535" s="1709"/>
      <c r="S535" s="1709"/>
      <c r="T535" s="1709"/>
      <c r="U535" s="1709"/>
      <c r="V535" s="1709"/>
      <c r="W535" s="1709"/>
      <c r="X535" s="1709"/>
      <c r="Y535" s="1709"/>
      <c r="Z535" s="1709"/>
      <c r="AA535" s="1709"/>
      <c r="AC535" s="1707" t="s">
        <v>600</v>
      </c>
      <c r="AD535" s="1693"/>
      <c r="AE535" s="1693"/>
      <c r="AF535" s="1693"/>
      <c r="AG535" s="38" t="s">
        <v>404</v>
      </c>
      <c r="AH535" s="1396"/>
      <c r="AI535" s="1396"/>
      <c r="AJ535" s="1396"/>
      <c r="AK535" s="1397"/>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70"/>
      <c r="C536" s="1471"/>
      <c r="D536" s="1471"/>
      <c r="E536" s="1471"/>
      <c r="F536" s="1471"/>
      <c r="G536" s="1471"/>
      <c r="H536" s="1472"/>
      <c r="I536" t="s">
        <v>422</v>
      </c>
      <c r="AC536" s="1707" t="s">
        <v>600</v>
      </c>
      <c r="AD536" s="1693"/>
      <c r="AE536" s="1693"/>
      <c r="AF536" s="1693"/>
      <c r="AG536" s="13" t="s">
        <v>404</v>
      </c>
      <c r="AH536" s="1396"/>
      <c r="AI536" s="1396"/>
      <c r="AJ536" s="1396"/>
      <c r="AK536" s="1397"/>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70"/>
      <c r="C537" s="1471"/>
      <c r="D537" s="1471"/>
      <c r="E537" s="1471"/>
      <c r="F537" s="1471"/>
      <c r="G537" s="1471"/>
      <c r="H537" s="1472"/>
      <c r="I537" s="48" t="s">
        <v>423</v>
      </c>
      <c r="J537" s="48"/>
      <c r="K537" s="48"/>
      <c r="L537" s="48"/>
      <c r="M537" s="48"/>
      <c r="N537" s="48"/>
      <c r="O537" s="48"/>
      <c r="P537" s="48"/>
      <c r="Q537" s="48"/>
      <c r="R537" s="48"/>
      <c r="S537" s="48"/>
      <c r="T537" s="48"/>
      <c r="U537" s="48"/>
      <c r="V537" s="48"/>
      <c r="W537" s="48"/>
      <c r="X537" s="48"/>
      <c r="Y537" s="48"/>
      <c r="Z537" s="48"/>
      <c r="AA537" s="48"/>
      <c r="AB537" s="48"/>
      <c r="AC537" s="1707" t="s">
        <v>600</v>
      </c>
      <c r="AD537" s="1693"/>
      <c r="AE537" s="1693"/>
      <c r="AF537" s="1693"/>
      <c r="AG537" s="38" t="s">
        <v>404</v>
      </c>
      <c r="AH537" s="1396"/>
      <c r="AI537" s="1396"/>
      <c r="AJ537" s="1396"/>
      <c r="AK537" s="1397"/>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70"/>
      <c r="C538" s="1471"/>
      <c r="D538" s="1471"/>
      <c r="E538" s="1471"/>
      <c r="F538" s="1471"/>
      <c r="G538" s="1471"/>
      <c r="H538" s="1472"/>
      <c r="I538" s="42" t="s">
        <v>571</v>
      </c>
      <c r="J538" s="42"/>
      <c r="K538" s="42"/>
      <c r="L538" s="42"/>
      <c r="M538" s="42"/>
      <c r="N538" s="42"/>
      <c r="O538" s="42"/>
      <c r="P538" s="42"/>
      <c r="Q538" s="42"/>
      <c r="R538" s="42"/>
      <c r="S538" s="42"/>
      <c r="T538" s="42"/>
      <c r="U538" s="42"/>
      <c r="V538" s="42"/>
      <c r="W538" s="42"/>
      <c r="AC538" s="1707" t="s">
        <v>600</v>
      </c>
      <c r="AD538" s="1693"/>
      <c r="AE538" s="1693"/>
      <c r="AF538" s="1693"/>
      <c r="AG538" s="38" t="s">
        <v>404</v>
      </c>
      <c r="AH538" s="1396"/>
      <c r="AI538" s="1396"/>
      <c r="AJ538" s="1396"/>
      <c r="AK538" s="139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70"/>
      <c r="C539" s="1471"/>
      <c r="D539" s="1471"/>
      <c r="E539" s="1471"/>
      <c r="F539" s="1471"/>
      <c r="G539" s="1471"/>
      <c r="H539" s="1472"/>
      <c r="I539" t="s">
        <v>572</v>
      </c>
      <c r="AC539" s="1707">
        <v>8</v>
      </c>
      <c r="AD539" s="1693"/>
      <c r="AE539" s="1693"/>
      <c r="AF539" s="1693"/>
      <c r="AG539" s="13" t="s">
        <v>404</v>
      </c>
      <c r="AH539" s="1396">
        <v>2025</v>
      </c>
      <c r="AI539" s="1396"/>
      <c r="AJ539" s="1396"/>
      <c r="AK539" s="139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70"/>
      <c r="C540" s="1471"/>
      <c r="D540" s="1471"/>
      <c r="E540" s="1471"/>
      <c r="F540" s="1471"/>
      <c r="G540" s="1471"/>
      <c r="H540" s="1472"/>
      <c r="I540" t="s">
        <v>573</v>
      </c>
      <c r="AC540" s="1707">
        <v>3</v>
      </c>
      <c r="AD540" s="1693"/>
      <c r="AE540" s="1693"/>
      <c r="AF540" s="1693"/>
      <c r="AG540" s="38" t="s">
        <v>404</v>
      </c>
      <c r="AH540" s="1396">
        <v>2025</v>
      </c>
      <c r="AI540" s="1396"/>
      <c r="AJ540" s="1396"/>
      <c r="AK540" s="139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70"/>
      <c r="C541" s="1471"/>
      <c r="D541" s="1471"/>
      <c r="E541" s="1471"/>
      <c r="F541" s="1471"/>
      <c r="G541" s="1471"/>
      <c r="H541" s="1472"/>
      <c r="I541" t="s">
        <v>574</v>
      </c>
      <c r="AC541" s="1707">
        <v>3</v>
      </c>
      <c r="AD541" s="1693"/>
      <c r="AE541" s="1693"/>
      <c r="AF541" s="1693"/>
      <c r="AG541" s="38" t="s">
        <v>404</v>
      </c>
      <c r="AH541" s="1396">
        <v>2027</v>
      </c>
      <c r="AI541" s="1396"/>
      <c r="AJ541" s="1396"/>
      <c r="AK541" s="139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723"/>
      <c r="C542" s="1512"/>
      <c r="D542" s="1512"/>
      <c r="E542" s="1512"/>
      <c r="F542" s="1512"/>
      <c r="G542" s="1512"/>
      <c r="H542" s="1513"/>
      <c r="I542" s="48" t="s">
        <v>460</v>
      </c>
      <c r="J542" s="48"/>
      <c r="K542" s="48"/>
      <c r="L542" s="48"/>
      <c r="M542" s="48"/>
      <c r="N542" s="48"/>
      <c r="O542" s="48"/>
      <c r="P542" s="48"/>
      <c r="Q542" s="48"/>
      <c r="R542" s="48"/>
      <c r="S542" s="48"/>
      <c r="T542" s="48"/>
      <c r="U542" s="48"/>
      <c r="V542" s="48"/>
      <c r="W542" s="48"/>
      <c r="X542" s="48"/>
      <c r="Y542" s="48"/>
      <c r="Z542" s="48"/>
      <c r="AA542" s="48"/>
      <c r="AB542" s="48"/>
      <c r="AC542" s="1707">
        <v>9</v>
      </c>
      <c r="AD542" s="1693"/>
      <c r="AE542" s="1693"/>
      <c r="AF542" s="1693"/>
      <c r="AG542" s="38" t="s">
        <v>404</v>
      </c>
      <c r="AH542" s="1396">
        <v>2027</v>
      </c>
      <c r="AI542" s="1396"/>
      <c r="AJ542" s="1396"/>
      <c r="AK542" s="139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67" t="s">
        <v>2422</v>
      </c>
      <c r="C551" s="1468"/>
      <c r="D551" s="1468"/>
      <c r="E551" s="1468"/>
      <c r="F551" s="1468"/>
      <c r="G551" s="1468"/>
      <c r="H551" s="1468"/>
      <c r="I551" s="1468"/>
      <c r="J551" s="1468"/>
      <c r="K551" s="1468"/>
      <c r="L551" s="1469"/>
      <c r="M551" s="1467" t="s">
        <v>2423</v>
      </c>
      <c r="N551" s="1468"/>
      <c r="O551" s="1468"/>
      <c r="P551" s="1469"/>
      <c r="Q551" s="1467" t="s">
        <v>2449</v>
      </c>
      <c r="R551" s="1468"/>
      <c r="S551" s="1469"/>
      <c r="T551" s="1467" t="s">
        <v>2450</v>
      </c>
      <c r="U551" s="1468"/>
      <c r="V551" s="1469"/>
      <c r="W551" s="1467" t="s">
        <v>462</v>
      </c>
      <c r="X551" s="1468"/>
      <c r="Y551" s="1469"/>
      <c r="Z551" s="1467" t="s">
        <v>2043</v>
      </c>
      <c r="AA551" s="1468"/>
      <c r="AB551" s="1468"/>
      <c r="AC551" s="1468"/>
      <c r="AD551" s="1469"/>
      <c r="AE551" s="1467" t="s">
        <v>1865</v>
      </c>
      <c r="AF551" s="1468"/>
      <c r="AG551" s="1468"/>
      <c r="AH551" s="1469"/>
      <c r="AI551" s="1467" t="s">
        <v>1866</v>
      </c>
      <c r="AJ551" s="1468"/>
      <c r="AK551" s="1468"/>
      <c r="AL551" s="1469"/>
      <c r="AM551" s="1467" t="s">
        <v>463</v>
      </c>
      <c r="AN551" s="1468"/>
      <c r="AO551" s="1468"/>
      <c r="AP551" s="1468"/>
      <c r="AQ551" s="1468"/>
      <c r="AR551" s="1468"/>
      <c r="AS551" s="1469"/>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70"/>
      <c r="C552" s="1471"/>
      <c r="D552" s="1471"/>
      <c r="E552" s="1471"/>
      <c r="F552" s="1471"/>
      <c r="G552" s="1471"/>
      <c r="H552" s="1471"/>
      <c r="I552" s="1471"/>
      <c r="J552" s="1471"/>
      <c r="K552" s="1471"/>
      <c r="L552" s="1472"/>
      <c r="M552" s="1470"/>
      <c r="N552" s="1471"/>
      <c r="O552" s="1471"/>
      <c r="P552" s="1472"/>
      <c r="Q552" s="1470"/>
      <c r="R552" s="1471"/>
      <c r="S552" s="1472"/>
      <c r="T552" s="1470"/>
      <c r="U552" s="1471"/>
      <c r="V552" s="1472"/>
      <c r="W552" s="1470"/>
      <c r="X552" s="1471"/>
      <c r="Y552" s="1472"/>
      <c r="Z552" s="1470"/>
      <c r="AA552" s="1471"/>
      <c r="AB552" s="1471"/>
      <c r="AC552" s="1471"/>
      <c r="AD552" s="1472"/>
      <c r="AE552" s="1470"/>
      <c r="AF552" s="1471"/>
      <c r="AG552" s="1471"/>
      <c r="AH552" s="1472"/>
      <c r="AI552" s="1470"/>
      <c r="AJ552" s="1471"/>
      <c r="AK552" s="1471"/>
      <c r="AL552" s="1472"/>
      <c r="AM552" s="1470"/>
      <c r="AN552" s="1471"/>
      <c r="AO552" s="1471"/>
      <c r="AP552" s="1471"/>
      <c r="AQ552" s="1471"/>
      <c r="AR552" s="1471"/>
      <c r="AS552" s="147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723"/>
      <c r="C553" s="1512"/>
      <c r="D553" s="1512"/>
      <c r="E553" s="1512"/>
      <c r="F553" s="1512"/>
      <c r="G553" s="1512"/>
      <c r="H553" s="1512"/>
      <c r="I553" s="1512"/>
      <c r="J553" s="1512"/>
      <c r="K553" s="1512"/>
      <c r="L553" s="1513"/>
      <c r="M553" s="1723"/>
      <c r="N553" s="1512"/>
      <c r="O553" s="1512"/>
      <c r="P553" s="1513"/>
      <c r="Q553" s="1723"/>
      <c r="R553" s="1512"/>
      <c r="S553" s="1513"/>
      <c r="T553" s="1723"/>
      <c r="U553" s="1512"/>
      <c r="V553" s="1513"/>
      <c r="W553" s="1723"/>
      <c r="X553" s="1512"/>
      <c r="Y553" s="1513"/>
      <c r="Z553" s="1723"/>
      <c r="AA553" s="1512"/>
      <c r="AB553" s="1512"/>
      <c r="AC553" s="1512"/>
      <c r="AD553" s="1513"/>
      <c r="AE553" s="1723"/>
      <c r="AF553" s="1512"/>
      <c r="AG553" s="1512"/>
      <c r="AH553" s="1513"/>
      <c r="AI553" s="1723"/>
      <c r="AJ553" s="1512"/>
      <c r="AK553" s="1512"/>
      <c r="AL553" s="1513"/>
      <c r="AM553" s="1723"/>
      <c r="AN553" s="1512"/>
      <c r="AO553" s="1512"/>
      <c r="AP553" s="1512"/>
      <c r="AQ553" s="1512"/>
      <c r="AR553" s="1512"/>
      <c r="AS553" s="151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54" t="s">
        <v>2720</v>
      </c>
      <c r="D554" s="1654"/>
      <c r="E554" s="1654"/>
      <c r="F554" s="1654"/>
      <c r="G554" s="1654"/>
      <c r="H554" s="1654"/>
      <c r="I554" s="1654"/>
      <c r="J554" s="1654"/>
      <c r="K554" s="1654"/>
      <c r="L554" s="1654"/>
      <c r="M554" s="1654" t="s">
        <v>2439</v>
      </c>
      <c r="N554" s="1654"/>
      <c r="O554" s="1654"/>
      <c r="P554" s="1654"/>
      <c r="Q554" s="1447">
        <v>30</v>
      </c>
      <c r="R554" s="1447"/>
      <c r="S554" s="1448"/>
      <c r="T554" s="1446">
        <v>30</v>
      </c>
      <c r="U554" s="1447"/>
      <c r="V554" s="1448"/>
      <c r="W554" s="1449">
        <v>8.4500000000000006E-2</v>
      </c>
      <c r="X554" s="1450"/>
      <c r="Y554" s="1451"/>
      <c r="Z554" s="1455" t="s">
        <v>2724</v>
      </c>
      <c r="AA554" s="1455"/>
      <c r="AB554" s="1455"/>
      <c r="AC554" s="1455"/>
      <c r="AD554" s="1455"/>
      <c r="AE554" s="1651">
        <v>1</v>
      </c>
      <c r="AF554" s="1652"/>
      <c r="AG554" s="1652"/>
      <c r="AH554" s="1653"/>
      <c r="AI554" s="1464"/>
      <c r="AJ554" s="1465"/>
      <c r="AK554" s="1465"/>
      <c r="AL554" s="1466"/>
      <c r="AM554" s="1699">
        <v>46070813</v>
      </c>
      <c r="AN554" s="1700"/>
      <c r="AO554" s="1700"/>
      <c r="AP554" s="1700"/>
      <c r="AQ554" s="1700"/>
      <c r="AR554" s="1700"/>
      <c r="AS554" s="17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705" t="s">
        <v>2721</v>
      </c>
      <c r="D555" s="1705"/>
      <c r="E555" s="1705"/>
      <c r="F555" s="1705"/>
      <c r="G555" s="1705"/>
      <c r="H555" s="1705"/>
      <c r="I555" s="1705"/>
      <c r="J555" s="1705"/>
      <c r="K555" s="1705"/>
      <c r="L555" s="1705"/>
      <c r="M555" s="1654" t="s">
        <v>2438</v>
      </c>
      <c r="N555" s="1654"/>
      <c r="O555" s="1654"/>
      <c r="P555" s="1654"/>
      <c r="Q555" s="1446">
        <v>30</v>
      </c>
      <c r="R555" s="1447"/>
      <c r="S555" s="1448"/>
      <c r="T555" s="1446">
        <v>30</v>
      </c>
      <c r="U555" s="1447"/>
      <c r="V555" s="1448"/>
      <c r="W555" s="1449">
        <v>8.4500000000000006E-2</v>
      </c>
      <c r="X555" s="1450"/>
      <c r="Y555" s="1451"/>
      <c r="Z555" s="1455" t="s">
        <v>2724</v>
      </c>
      <c r="AA555" s="1455"/>
      <c r="AB555" s="1455"/>
      <c r="AC555" s="1455"/>
      <c r="AD555" s="1455"/>
      <c r="AE555" s="1651">
        <v>1</v>
      </c>
      <c r="AF555" s="1652"/>
      <c r="AG555" s="1652"/>
      <c r="AH555" s="1653"/>
      <c r="AI555" s="1464"/>
      <c r="AJ555" s="1465"/>
      <c r="AK555" s="1465"/>
      <c r="AL555" s="1466"/>
      <c r="AM555" s="1699">
        <v>31267978</v>
      </c>
      <c r="AN555" s="1700"/>
      <c r="AO555" s="1700"/>
      <c r="AP555" s="1700"/>
      <c r="AQ555" s="1700"/>
      <c r="AR555" s="1700"/>
      <c r="AS555" s="17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705" t="s">
        <v>2722</v>
      </c>
      <c r="D556" s="1705"/>
      <c r="E556" s="1705"/>
      <c r="F556" s="1705"/>
      <c r="G556" s="1705"/>
      <c r="H556" s="1705"/>
      <c r="I556" s="1705"/>
      <c r="J556" s="1705"/>
      <c r="K556" s="1705"/>
      <c r="L556" s="1705"/>
      <c r="M556" s="1654" t="s">
        <v>2430</v>
      </c>
      <c r="N556" s="1654"/>
      <c r="O556" s="1654"/>
      <c r="P556" s="1654"/>
      <c r="Q556" s="1446"/>
      <c r="R556" s="1447"/>
      <c r="S556" s="1448"/>
      <c r="T556" s="1446"/>
      <c r="U556" s="1447"/>
      <c r="V556" s="1448"/>
      <c r="W556" s="1449"/>
      <c r="X556" s="1450"/>
      <c r="Y556" s="1451"/>
      <c r="Z556" s="1455" t="s">
        <v>1291</v>
      </c>
      <c r="AA556" s="1455"/>
      <c r="AB556" s="1455"/>
      <c r="AC556" s="1455"/>
      <c r="AD556" s="1455"/>
      <c r="AE556" s="1651"/>
      <c r="AF556" s="1652"/>
      <c r="AG556" s="1652"/>
      <c r="AH556" s="1653"/>
      <c r="AI556" s="1464"/>
      <c r="AJ556" s="1465"/>
      <c r="AK556" s="1465"/>
      <c r="AL556" s="1466"/>
      <c r="AM556" s="1699">
        <v>3652494</v>
      </c>
      <c r="AN556" s="1700"/>
      <c r="AO556" s="1700"/>
      <c r="AP556" s="1700"/>
      <c r="AQ556" s="1700"/>
      <c r="AR556" s="1700"/>
      <c r="AS556" s="17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705" t="s">
        <v>2723</v>
      </c>
      <c r="D557" s="1705"/>
      <c r="E557" s="1705"/>
      <c r="F557" s="1705"/>
      <c r="G557" s="1705"/>
      <c r="H557" s="1705"/>
      <c r="I557" s="1705"/>
      <c r="J557" s="1705"/>
      <c r="K557" s="1705"/>
      <c r="L557" s="1705"/>
      <c r="M557" s="1654" t="s">
        <v>2425</v>
      </c>
      <c r="N557" s="1654"/>
      <c r="O557" s="1654"/>
      <c r="P557" s="1654"/>
      <c r="Q557" s="1446"/>
      <c r="R557" s="1447"/>
      <c r="S557" s="1448"/>
      <c r="T557" s="1446"/>
      <c r="U557" s="1447"/>
      <c r="V557" s="1448"/>
      <c r="W557" s="1449"/>
      <c r="X557" s="1450"/>
      <c r="Y557" s="1451"/>
      <c r="Z557" s="1455" t="s">
        <v>1291</v>
      </c>
      <c r="AA557" s="1455"/>
      <c r="AB557" s="1455"/>
      <c r="AC557" s="1455"/>
      <c r="AD557" s="1455"/>
      <c r="AE557" s="1651"/>
      <c r="AF557" s="1652"/>
      <c r="AG557" s="1652"/>
      <c r="AH557" s="1653"/>
      <c r="AI557" s="1464"/>
      <c r="AJ557" s="1465"/>
      <c r="AK557" s="1465"/>
      <c r="AL557" s="1466"/>
      <c r="AM557" s="1699">
        <v>9622284</v>
      </c>
      <c r="AN557" s="1700"/>
      <c r="AO557" s="1700"/>
      <c r="AP557" s="1700"/>
      <c r="AQ557" s="1700"/>
      <c r="AR557" s="1700"/>
      <c r="AS557" s="17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705"/>
      <c r="D558" s="1705"/>
      <c r="E558" s="1705"/>
      <c r="F558" s="1705"/>
      <c r="G558" s="1705"/>
      <c r="H558" s="1705"/>
      <c r="I558" s="1705"/>
      <c r="J558" s="1705"/>
      <c r="K558" s="1705"/>
      <c r="L558" s="1705"/>
      <c r="M558" s="1654" t="s">
        <v>1291</v>
      </c>
      <c r="N558" s="1654"/>
      <c r="O558" s="1654"/>
      <c r="P558" s="1654"/>
      <c r="Q558" s="1446"/>
      <c r="R558" s="1447"/>
      <c r="S558" s="1448"/>
      <c r="T558" s="1446"/>
      <c r="U558" s="1447"/>
      <c r="V558" s="1448"/>
      <c r="W558" s="1449"/>
      <c r="X558" s="1450"/>
      <c r="Y558" s="1451"/>
      <c r="Z558" s="1455" t="s">
        <v>1291</v>
      </c>
      <c r="AA558" s="1455"/>
      <c r="AB558" s="1455"/>
      <c r="AC558" s="1455"/>
      <c r="AD558" s="1455"/>
      <c r="AE558" s="1651"/>
      <c r="AF558" s="1652"/>
      <c r="AG558" s="1652"/>
      <c r="AH558" s="1653"/>
      <c r="AI558" s="1464"/>
      <c r="AJ558" s="1465"/>
      <c r="AK558" s="1465"/>
      <c r="AL558" s="1466"/>
      <c r="AM558" s="1699"/>
      <c r="AN558" s="1700"/>
      <c r="AO558" s="1700"/>
      <c r="AP558" s="1700"/>
      <c r="AQ558" s="1700"/>
      <c r="AR558" s="1700"/>
      <c r="AS558" s="1701"/>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705"/>
      <c r="D559" s="1705"/>
      <c r="E559" s="1705"/>
      <c r="F559" s="1705"/>
      <c r="G559" s="1705"/>
      <c r="H559" s="1705"/>
      <c r="I559" s="1705"/>
      <c r="J559" s="1705"/>
      <c r="K559" s="1705"/>
      <c r="L559" s="1705"/>
      <c r="M559" s="1654" t="s">
        <v>1291</v>
      </c>
      <c r="N559" s="1654"/>
      <c r="O559" s="1654"/>
      <c r="P559" s="1654"/>
      <c r="Q559" s="1446"/>
      <c r="R559" s="1447"/>
      <c r="S559" s="1448"/>
      <c r="T559" s="1446"/>
      <c r="U559" s="1447"/>
      <c r="V559" s="1448"/>
      <c r="W559" s="1449"/>
      <c r="X559" s="1450"/>
      <c r="Y559" s="1451"/>
      <c r="Z559" s="1455" t="s">
        <v>1291</v>
      </c>
      <c r="AA559" s="1455"/>
      <c r="AB559" s="1455"/>
      <c r="AC559" s="1455"/>
      <c r="AD559" s="1455"/>
      <c r="AE559" s="1651"/>
      <c r="AF559" s="1652"/>
      <c r="AG559" s="1652"/>
      <c r="AH559" s="1653"/>
      <c r="AI559" s="1464"/>
      <c r="AJ559" s="1465"/>
      <c r="AK559" s="1465"/>
      <c r="AL559" s="1466"/>
      <c r="AM559" s="1699"/>
      <c r="AN559" s="1700"/>
      <c r="AO559" s="1700"/>
      <c r="AP559" s="1700"/>
      <c r="AQ559" s="1700"/>
      <c r="AR559" s="1700"/>
      <c r="AS559" s="1701"/>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705"/>
      <c r="D560" s="1705"/>
      <c r="E560" s="1705"/>
      <c r="F560" s="1705"/>
      <c r="G560" s="1705"/>
      <c r="H560" s="1705"/>
      <c r="I560" s="1705"/>
      <c r="J560" s="1705"/>
      <c r="K560" s="1705"/>
      <c r="L560" s="1705"/>
      <c r="M560" s="1654" t="s">
        <v>1291</v>
      </c>
      <c r="N560" s="1654"/>
      <c r="O560" s="1654"/>
      <c r="P560" s="1654"/>
      <c r="Q560" s="1446"/>
      <c r="R560" s="1447"/>
      <c r="S560" s="1448"/>
      <c r="T560" s="1446"/>
      <c r="U560" s="1447"/>
      <c r="V560" s="1448"/>
      <c r="W560" s="1449"/>
      <c r="X560" s="1450"/>
      <c r="Y560" s="1451"/>
      <c r="Z560" s="1455" t="s">
        <v>1291</v>
      </c>
      <c r="AA560" s="1455"/>
      <c r="AB560" s="1455"/>
      <c r="AC560" s="1455"/>
      <c r="AD560" s="1455"/>
      <c r="AE560" s="1651"/>
      <c r="AF560" s="1652"/>
      <c r="AG560" s="1652"/>
      <c r="AH560" s="1653"/>
      <c r="AI560" s="1464"/>
      <c r="AJ560" s="1465"/>
      <c r="AK560" s="1465"/>
      <c r="AL560" s="1466"/>
      <c r="AM560" s="1699"/>
      <c r="AN560" s="1700"/>
      <c r="AO560" s="1700"/>
      <c r="AP560" s="1700"/>
      <c r="AQ560" s="1700"/>
      <c r="AR560" s="1700"/>
      <c r="AS560" s="17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705"/>
      <c r="D561" s="1705"/>
      <c r="E561" s="1705"/>
      <c r="F561" s="1705"/>
      <c r="G561" s="1705"/>
      <c r="H561" s="1705"/>
      <c r="I561" s="1705"/>
      <c r="J561" s="1705"/>
      <c r="K561" s="1705"/>
      <c r="L561" s="1705"/>
      <c r="M561" s="1654" t="s">
        <v>1291</v>
      </c>
      <c r="N561" s="1654"/>
      <c r="O561" s="1654"/>
      <c r="P561" s="1654"/>
      <c r="Q561" s="1446"/>
      <c r="R561" s="1447"/>
      <c r="S561" s="1448"/>
      <c r="T561" s="1446"/>
      <c r="U561" s="1447"/>
      <c r="V561" s="1448"/>
      <c r="W561" s="1449"/>
      <c r="X561" s="1450"/>
      <c r="Y561" s="1451"/>
      <c r="Z561" s="1455" t="s">
        <v>1291</v>
      </c>
      <c r="AA561" s="1455"/>
      <c r="AB561" s="1455"/>
      <c r="AC561" s="1455"/>
      <c r="AD561" s="1455"/>
      <c r="AE561" s="1651"/>
      <c r="AF561" s="1652"/>
      <c r="AG561" s="1652"/>
      <c r="AH561" s="1653"/>
      <c r="AI561" s="1464"/>
      <c r="AJ561" s="1465"/>
      <c r="AK561" s="1465"/>
      <c r="AL561" s="1466"/>
      <c r="AM561" s="1699"/>
      <c r="AN561" s="1700"/>
      <c r="AO561" s="1700"/>
      <c r="AP561" s="1700"/>
      <c r="AQ561" s="1700"/>
      <c r="AR561" s="1700"/>
      <c r="AS561" s="17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705"/>
      <c r="D562" s="1705"/>
      <c r="E562" s="1705"/>
      <c r="F562" s="1705"/>
      <c r="G562" s="1705"/>
      <c r="H562" s="1705"/>
      <c r="I562" s="1705"/>
      <c r="J562" s="1705"/>
      <c r="K562" s="1705"/>
      <c r="L562" s="1705"/>
      <c r="M562" s="1654" t="s">
        <v>1291</v>
      </c>
      <c r="N562" s="1654"/>
      <c r="O562" s="1654"/>
      <c r="P562" s="1654"/>
      <c r="Q562" s="1446"/>
      <c r="R562" s="1447"/>
      <c r="S562" s="1448"/>
      <c r="T562" s="1446"/>
      <c r="U562" s="1447"/>
      <c r="V562" s="1448"/>
      <c r="W562" s="1449"/>
      <c r="X562" s="1450"/>
      <c r="Y562" s="1451"/>
      <c r="Z562" s="1455" t="s">
        <v>1291</v>
      </c>
      <c r="AA562" s="1455"/>
      <c r="AB562" s="1455"/>
      <c r="AC562" s="1455"/>
      <c r="AD562" s="1455"/>
      <c r="AE562" s="1651"/>
      <c r="AF562" s="1652"/>
      <c r="AG562" s="1652"/>
      <c r="AH562" s="1653"/>
      <c r="AI562" s="1464"/>
      <c r="AJ562" s="1465"/>
      <c r="AK562" s="1465"/>
      <c r="AL562" s="1466"/>
      <c r="AM562" s="1699"/>
      <c r="AN562" s="1700"/>
      <c r="AO562" s="1700"/>
      <c r="AP562" s="1700"/>
      <c r="AQ562" s="1700"/>
      <c r="AR562" s="1700"/>
      <c r="AS562" s="17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705"/>
      <c r="D563" s="1705"/>
      <c r="E563" s="1705"/>
      <c r="F563" s="1705"/>
      <c r="G563" s="1705"/>
      <c r="H563" s="1705"/>
      <c r="I563" s="1705"/>
      <c r="J563" s="1705"/>
      <c r="K563" s="1705"/>
      <c r="L563" s="1705"/>
      <c r="M563" s="1654" t="s">
        <v>1291</v>
      </c>
      <c r="N563" s="1654"/>
      <c r="O563" s="1654"/>
      <c r="P563" s="1654"/>
      <c r="Q563" s="1446"/>
      <c r="R563" s="1447"/>
      <c r="S563" s="1448"/>
      <c r="T563" s="1446"/>
      <c r="U563" s="1447"/>
      <c r="V563" s="1448"/>
      <c r="W563" s="1449"/>
      <c r="X563" s="1450"/>
      <c r="Y563" s="1451"/>
      <c r="Z563" s="1455" t="s">
        <v>1291</v>
      </c>
      <c r="AA563" s="1455"/>
      <c r="AB563" s="1455"/>
      <c r="AC563" s="1455"/>
      <c r="AD563" s="1455"/>
      <c r="AE563" s="1651"/>
      <c r="AF563" s="1652"/>
      <c r="AG563" s="1652"/>
      <c r="AH563" s="1653"/>
      <c r="AI563" s="1464"/>
      <c r="AJ563" s="1465"/>
      <c r="AK563" s="1465"/>
      <c r="AL563" s="1466"/>
      <c r="AM563" s="1699"/>
      <c r="AN563" s="1700"/>
      <c r="AO563" s="1700"/>
      <c r="AP563" s="1700"/>
      <c r="AQ563" s="1700"/>
      <c r="AR563" s="1700"/>
      <c r="AS563" s="17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705"/>
      <c r="D564" s="1705"/>
      <c r="E564" s="1705"/>
      <c r="F564" s="1705"/>
      <c r="G564" s="1705"/>
      <c r="H564" s="1705"/>
      <c r="I564" s="1705"/>
      <c r="J564" s="1705"/>
      <c r="K564" s="1705"/>
      <c r="L564" s="1705"/>
      <c r="M564" s="1654" t="s">
        <v>1291</v>
      </c>
      <c r="N564" s="1654"/>
      <c r="O564" s="1654"/>
      <c r="P564" s="1654"/>
      <c r="Q564" s="1446"/>
      <c r="R564" s="1447"/>
      <c r="S564" s="1448"/>
      <c r="T564" s="1446"/>
      <c r="U564" s="1447"/>
      <c r="V564" s="1448"/>
      <c r="W564" s="1449"/>
      <c r="X564" s="1450"/>
      <c r="Y564" s="1451"/>
      <c r="Z564" s="1455" t="s">
        <v>1291</v>
      </c>
      <c r="AA564" s="1455"/>
      <c r="AB564" s="1455"/>
      <c r="AC564" s="1455"/>
      <c r="AD564" s="1455"/>
      <c r="AE564" s="1651"/>
      <c r="AF564" s="1652"/>
      <c r="AG564" s="1652"/>
      <c r="AH564" s="1653"/>
      <c r="AI564" s="1464"/>
      <c r="AJ564" s="1465"/>
      <c r="AK564" s="1465"/>
      <c r="AL564" s="1466"/>
      <c r="AM564" s="1699"/>
      <c r="AN564" s="1700"/>
      <c r="AO564" s="1700"/>
      <c r="AP564" s="1700"/>
      <c r="AQ564" s="1700"/>
      <c r="AR564" s="1700"/>
      <c r="AS564" s="17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705"/>
      <c r="D565" s="1705"/>
      <c r="E565" s="1705"/>
      <c r="F565" s="1705"/>
      <c r="G565" s="1705"/>
      <c r="H565" s="1705"/>
      <c r="I565" s="1705"/>
      <c r="J565" s="1705"/>
      <c r="K565" s="1705"/>
      <c r="L565" s="1705"/>
      <c r="M565" s="1654" t="s">
        <v>1291</v>
      </c>
      <c r="N565" s="1654"/>
      <c r="O565" s="1654"/>
      <c r="P565" s="1654"/>
      <c r="Q565" s="1446"/>
      <c r="R565" s="1447"/>
      <c r="S565" s="1448"/>
      <c r="T565" s="1446"/>
      <c r="U565" s="1447"/>
      <c r="V565" s="1448"/>
      <c r="W565" s="1449"/>
      <c r="X565" s="1450"/>
      <c r="Y565" s="1451"/>
      <c r="Z565" s="1455" t="s">
        <v>1291</v>
      </c>
      <c r="AA565" s="1455"/>
      <c r="AB565" s="1455"/>
      <c r="AC565" s="1455"/>
      <c r="AD565" s="1455"/>
      <c r="AE565" s="1651"/>
      <c r="AF565" s="1652"/>
      <c r="AG565" s="1652"/>
      <c r="AH565" s="1653"/>
      <c r="AI565" s="1464"/>
      <c r="AJ565" s="1465"/>
      <c r="AK565" s="1465"/>
      <c r="AL565" s="1466"/>
      <c r="AM565" s="1699"/>
      <c r="AN565" s="1700"/>
      <c r="AO565" s="1700"/>
      <c r="AP565" s="1700"/>
      <c r="AQ565" s="1700"/>
      <c r="AR565" s="1700"/>
      <c r="AS565" s="17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57" t="s">
        <v>127</v>
      </c>
      <c r="C566" s="1658"/>
      <c r="D566" s="1658"/>
      <c r="E566" s="1658"/>
      <c r="F566" s="1658"/>
      <c r="G566" s="1658"/>
      <c r="H566" s="1658"/>
      <c r="I566" s="1658"/>
      <c r="J566" s="1658"/>
      <c r="K566" s="1658"/>
      <c r="L566" s="1658"/>
      <c r="M566" s="1658"/>
      <c r="N566" s="1658"/>
      <c r="O566" s="1658"/>
      <c r="P566" s="1658"/>
      <c r="Q566" s="1658"/>
      <c r="R566" s="1658"/>
      <c r="S566" s="1658"/>
      <c r="T566" s="1658"/>
      <c r="U566" s="1711"/>
      <c r="V566" s="1658"/>
      <c r="W566" s="1658"/>
      <c r="X566" s="1658"/>
      <c r="Y566" s="1658"/>
      <c r="Z566" s="1658"/>
      <c r="AA566" s="1658"/>
      <c r="AB566" s="1658"/>
      <c r="AC566" s="1658"/>
      <c r="AD566" s="1658"/>
      <c r="AE566" s="1658"/>
      <c r="AF566" s="1658"/>
      <c r="AG566" s="1658"/>
      <c r="AH566" s="1658"/>
      <c r="AI566" s="1658"/>
      <c r="AJ566" s="1658"/>
      <c r="AK566" s="1658"/>
      <c r="AL566" s="1659"/>
      <c r="AM566" s="1663">
        <f>SUM(AM554:AS565)</f>
        <v>90613569</v>
      </c>
      <c r="AN566" s="1664"/>
      <c r="AO566" s="1664"/>
      <c r="AP566" s="1664"/>
      <c r="AQ566" s="1664"/>
      <c r="AR566" s="1664"/>
      <c r="AS566" s="166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420" t="str">
        <f>C554</f>
        <v>Citi Community Capital-Tax Exempt</v>
      </c>
      <c r="H568" s="1420"/>
      <c r="I568" s="1420"/>
      <c r="J568" s="1420"/>
      <c r="K568" s="1420"/>
      <c r="L568" s="1420"/>
      <c r="M568" s="1420"/>
      <c r="N568" s="1420"/>
      <c r="O568" s="1420"/>
      <c r="P568" s="1420"/>
      <c r="Q568" s="1420"/>
      <c r="R568" s="1420"/>
      <c r="S568" s="8"/>
      <c r="T568" s="55" t="s">
        <v>113</v>
      </c>
      <c r="U568" t="s">
        <v>472</v>
      </c>
      <c r="Z568" s="1420" t="str">
        <f>C555</f>
        <v>Citi Community Capital-Taxable</v>
      </c>
      <c r="AA568" s="1420"/>
      <c r="AB568" s="1420"/>
      <c r="AC568" s="1420"/>
      <c r="AD568" s="1420"/>
      <c r="AE568" s="1420"/>
      <c r="AF568" s="1420"/>
      <c r="AG568" s="1420"/>
      <c r="AH568" s="1420"/>
      <c r="AI568" s="1420"/>
      <c r="AJ568" s="1420"/>
      <c r="AK568" s="142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21" t="s">
        <v>2725</v>
      </c>
      <c r="H569" s="1421"/>
      <c r="I569" s="1421"/>
      <c r="J569" s="1421"/>
      <c r="K569" s="1421"/>
      <c r="L569" s="1421"/>
      <c r="M569" s="1421"/>
      <c r="N569" s="1421"/>
      <c r="O569" s="1421"/>
      <c r="P569" s="1421"/>
      <c r="Q569" s="1421"/>
      <c r="R569" s="1421"/>
      <c r="S569" s="8"/>
      <c r="T569" s="22"/>
      <c r="U569" t="s">
        <v>85</v>
      </c>
      <c r="Z569" s="1421" t="s">
        <v>2725</v>
      </c>
      <c r="AA569" s="1421"/>
      <c r="AB569" s="1421"/>
      <c r="AC569" s="1421"/>
      <c r="AD569" s="1421"/>
      <c r="AE569" s="1421"/>
      <c r="AF569" s="1421"/>
      <c r="AG569" s="1421"/>
      <c r="AH569" s="1421"/>
      <c r="AI569" s="1421"/>
      <c r="AJ569" s="1421"/>
      <c r="AK569" s="142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21" t="s">
        <v>2726</v>
      </c>
      <c r="H570" s="1421"/>
      <c r="I570" s="1421"/>
      <c r="J570" s="1421"/>
      <c r="K570" s="1421"/>
      <c r="L570" s="1421"/>
      <c r="M570" s="1421"/>
      <c r="N570" s="1421"/>
      <c r="O570" s="1421"/>
      <c r="P570" s="1421"/>
      <c r="Q570" s="1421"/>
      <c r="R570" s="1421"/>
      <c r="T570" s="22"/>
      <c r="U570" t="s">
        <v>589</v>
      </c>
      <c r="Z570" s="1433" t="s">
        <v>2726</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21" t="s">
        <v>2727</v>
      </c>
      <c r="H571" s="1421"/>
      <c r="I571" s="1421"/>
      <c r="J571" s="1421"/>
      <c r="K571" s="1421"/>
      <c r="L571" s="1421"/>
      <c r="M571" s="1421"/>
      <c r="N571" s="1421"/>
      <c r="O571" s="1421"/>
      <c r="P571" s="1421"/>
      <c r="Q571" s="1421"/>
      <c r="R571" s="1421"/>
      <c r="S571" s="8"/>
      <c r="T571" s="22"/>
      <c r="U571" t="s">
        <v>17</v>
      </c>
      <c r="Z571" s="1433" t="s">
        <v>2727</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53" t="s">
        <v>2728</v>
      </c>
      <c r="H572" s="1453"/>
      <c r="I572" s="1453"/>
      <c r="J572" s="1453"/>
      <c r="K572" s="1453"/>
      <c r="L572" s="1453"/>
      <c r="O572" s="33" t="s">
        <v>207</v>
      </c>
      <c r="P572" s="1419"/>
      <c r="Q572" s="1419"/>
      <c r="R572" s="1419"/>
      <c r="S572" s="10"/>
      <c r="T572" s="22"/>
      <c r="U572" t="s">
        <v>317</v>
      </c>
      <c r="Z572" s="1453" t="s">
        <v>2728</v>
      </c>
      <c r="AA572" s="1453"/>
      <c r="AB572" s="1453"/>
      <c r="AC572" s="1453"/>
      <c r="AD572" s="1453"/>
      <c r="AE572" s="1453"/>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16" t="s">
        <v>2729</v>
      </c>
      <c r="I573" s="1421"/>
      <c r="J573" s="1421"/>
      <c r="K573" s="1421"/>
      <c r="L573" s="1421"/>
      <c r="M573" s="1421"/>
      <c r="N573" s="1421"/>
      <c r="O573" s="1421"/>
      <c r="P573" s="1421"/>
      <c r="Q573" s="1421"/>
      <c r="R573" s="1421"/>
      <c r="S573" s="8"/>
      <c r="T573" s="22"/>
      <c r="U573" t="s">
        <v>18</v>
      </c>
      <c r="AA573" s="1416" t="s">
        <v>2729</v>
      </c>
      <c r="AB573" s="1421"/>
      <c r="AC573" s="1421"/>
      <c r="AD573" s="1421"/>
      <c r="AE573" s="1421"/>
      <c r="AF573" s="1421"/>
      <c r="AG573" s="1421"/>
      <c r="AH573" s="1421"/>
      <c r="AI573" s="1421"/>
      <c r="AJ573" s="1421"/>
      <c r="AK573" s="142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771" t="s">
        <v>2730</v>
      </c>
      <c r="N574" s="1739"/>
      <c r="O574" s="1739"/>
      <c r="P574" s="1739"/>
      <c r="Q574" s="1739"/>
      <c r="R574" s="1739"/>
      <c r="S574" s="8"/>
      <c r="T574" s="22"/>
      <c r="U574" s="348" t="s">
        <v>1292</v>
      </c>
      <c r="AA574" s="8"/>
      <c r="AB574" s="8"/>
      <c r="AC574" s="8"/>
      <c r="AD574" s="8"/>
      <c r="AE574" s="8"/>
      <c r="AF574" s="1771" t="s">
        <v>2730</v>
      </c>
      <c r="AG574" s="1739"/>
      <c r="AH574" s="1739"/>
      <c r="AI574" s="1739"/>
      <c r="AJ574" s="1739"/>
      <c r="AK574" s="173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29" t="s">
        <v>554</v>
      </c>
      <c r="O575" s="1429"/>
      <c r="T575" s="22"/>
      <c r="U575" t="s">
        <v>20</v>
      </c>
      <c r="AG575" s="1429" t="s">
        <v>554</v>
      </c>
      <c r="AH575" s="142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420" t="str">
        <f>C556</f>
        <v>Redstone - Equity</v>
      </c>
      <c r="H577" s="1420"/>
      <c r="I577" s="1420"/>
      <c r="J577" s="1420"/>
      <c r="K577" s="1420"/>
      <c r="L577" s="1420"/>
      <c r="M577" s="1420"/>
      <c r="N577" s="1420"/>
      <c r="O577" s="1420"/>
      <c r="P577" s="1420"/>
      <c r="Q577" s="1420"/>
      <c r="R577" s="1420"/>
      <c r="T577" s="55" t="s">
        <v>590</v>
      </c>
      <c r="U577" t="s">
        <v>472</v>
      </c>
      <c r="Z577" s="1420" t="str">
        <f>C557</f>
        <v>Deferred Costs</v>
      </c>
      <c r="AA577" s="1420"/>
      <c r="AB577" s="1420"/>
      <c r="AC577" s="1420"/>
      <c r="AD577" s="1420"/>
      <c r="AE577" s="1420"/>
      <c r="AF577" s="1420"/>
      <c r="AG577" s="1420"/>
      <c r="AH577" s="1420"/>
      <c r="AI577" s="1420"/>
      <c r="AJ577" s="1420"/>
      <c r="AK577" s="142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16" t="s">
        <v>2715</v>
      </c>
      <c r="H578" s="1421"/>
      <c r="I578" s="1421"/>
      <c r="J578" s="1421"/>
      <c r="K578" s="1421"/>
      <c r="L578" s="1421"/>
      <c r="M578" s="1421"/>
      <c r="N578" s="1421"/>
      <c r="O578" s="1421"/>
      <c r="P578" s="1421"/>
      <c r="Q578" s="1421"/>
      <c r="R578" s="1421"/>
      <c r="T578" s="22"/>
      <c r="U578" t="s">
        <v>85</v>
      </c>
      <c r="Z578" s="1421"/>
      <c r="AA578" s="1421"/>
      <c r="AB578" s="1421"/>
      <c r="AC578" s="1421"/>
      <c r="AD578" s="1421"/>
      <c r="AE578" s="1421"/>
      <c r="AF578" s="1421"/>
      <c r="AG578" s="1421"/>
      <c r="AH578" s="1421"/>
      <c r="AI578" s="1421"/>
      <c r="AJ578" s="1421"/>
      <c r="AK578" s="142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563" t="s">
        <v>2731</v>
      </c>
      <c r="H579" s="1433"/>
      <c r="I579" s="1433"/>
      <c r="J579" s="1433"/>
      <c r="K579" s="1433"/>
      <c r="L579" s="1433"/>
      <c r="M579" s="1433"/>
      <c r="N579" s="1433"/>
      <c r="O579" s="1433"/>
      <c r="P579" s="1433"/>
      <c r="Q579" s="1433"/>
      <c r="R579" s="1433"/>
      <c r="T579" s="22"/>
      <c r="U579" t="s">
        <v>589</v>
      </c>
      <c r="Z579" s="1433"/>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563" t="s">
        <v>2712</v>
      </c>
      <c r="H580" s="1433"/>
      <c r="I580" s="1433"/>
      <c r="J580" s="1433"/>
      <c r="K580" s="1433"/>
      <c r="L580" s="1433"/>
      <c r="M580" s="1433"/>
      <c r="N580" s="1433"/>
      <c r="O580" s="1433"/>
      <c r="P580" s="1433"/>
      <c r="Q580" s="1433"/>
      <c r="R580" s="1433"/>
      <c r="T580" s="22"/>
      <c r="U580" t="s">
        <v>17</v>
      </c>
      <c r="Z580" s="1433"/>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52" t="s">
        <v>2713</v>
      </c>
      <c r="H581" s="1453"/>
      <c r="I581" s="1453"/>
      <c r="J581" s="1453"/>
      <c r="K581" s="1453"/>
      <c r="L581" s="1453"/>
      <c r="O581" s="33" t="s">
        <v>207</v>
      </c>
      <c r="P581" s="1419"/>
      <c r="Q581" s="1419"/>
      <c r="R581" s="1419"/>
      <c r="T581" s="22"/>
      <c r="U581" t="s">
        <v>317</v>
      </c>
      <c r="Z581" s="1453"/>
      <c r="AA581" s="1453"/>
      <c r="AB581" s="1453"/>
      <c r="AC581" s="1453"/>
      <c r="AD581" s="1453"/>
      <c r="AE581" s="1453"/>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16" t="s">
        <v>2732</v>
      </c>
      <c r="I582" s="1421"/>
      <c r="J582" s="1421"/>
      <c r="K582" s="1421"/>
      <c r="L582" s="1421"/>
      <c r="M582" s="1421"/>
      <c r="N582" s="1421"/>
      <c r="O582" s="1421"/>
      <c r="P582" s="1421"/>
      <c r="Q582" s="1421"/>
      <c r="R582" s="1421"/>
      <c r="T582" s="22"/>
      <c r="U582" t="s">
        <v>18</v>
      </c>
      <c r="AA582" s="1421"/>
      <c r="AB582" s="1421"/>
      <c r="AC582" s="1421"/>
      <c r="AD582" s="1421"/>
      <c r="AE582" s="1421"/>
      <c r="AF582" s="1421"/>
      <c r="AG582" s="1421"/>
      <c r="AH582" s="1421"/>
      <c r="AI582" s="1421"/>
      <c r="AJ582" s="1421"/>
      <c r="AK582" s="142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29" t="s">
        <v>554</v>
      </c>
      <c r="O583" s="1429"/>
      <c r="T583" s="22"/>
      <c r="U583" t="s">
        <v>20</v>
      </c>
      <c r="AG583" s="1429" t="s">
        <v>678</v>
      </c>
      <c r="AH583" s="142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420">
        <f>C558</f>
        <v>0</v>
      </c>
      <c r="H585" s="1420"/>
      <c r="I585" s="1420"/>
      <c r="J585" s="1420"/>
      <c r="K585" s="1420"/>
      <c r="L585" s="1420"/>
      <c r="M585" s="1420"/>
      <c r="N585" s="1420"/>
      <c r="O585" s="1420"/>
      <c r="P585" s="1420"/>
      <c r="Q585" s="1420"/>
      <c r="R585" s="1420"/>
      <c r="T585" s="55" t="s">
        <v>593</v>
      </c>
      <c r="U585" t="s">
        <v>472</v>
      </c>
      <c r="Z585" s="1420">
        <f>C559</f>
        <v>0</v>
      </c>
      <c r="AA585" s="1420"/>
      <c r="AB585" s="1420"/>
      <c r="AC585" s="1420"/>
      <c r="AD585" s="1420"/>
      <c r="AE585" s="1420"/>
      <c r="AF585" s="1420"/>
      <c r="AG585" s="1420"/>
      <c r="AH585" s="1420"/>
      <c r="AI585" s="1420"/>
      <c r="AJ585" s="1420"/>
      <c r="AK585" s="142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21"/>
      <c r="H586" s="1421"/>
      <c r="I586" s="1421"/>
      <c r="J586" s="1421"/>
      <c r="K586" s="1421"/>
      <c r="L586" s="1421"/>
      <c r="M586" s="1421"/>
      <c r="N586" s="1421"/>
      <c r="O586" s="1421"/>
      <c r="P586" s="1421"/>
      <c r="Q586" s="1421"/>
      <c r="R586" s="1421"/>
      <c r="T586" s="22"/>
      <c r="U586" t="s">
        <v>85</v>
      </c>
      <c r="Z586" s="1421"/>
      <c r="AA586" s="1421"/>
      <c r="AB586" s="1421"/>
      <c r="AC586" s="1421"/>
      <c r="AD586" s="1421"/>
      <c r="AE586" s="1421"/>
      <c r="AF586" s="1421"/>
      <c r="AG586" s="1421"/>
      <c r="AH586" s="1421"/>
      <c r="AI586" s="1421"/>
      <c r="AJ586" s="1421"/>
      <c r="AK586" s="142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421"/>
      <c r="H587" s="1421"/>
      <c r="I587" s="1421"/>
      <c r="J587" s="1421"/>
      <c r="K587" s="1421"/>
      <c r="L587" s="1421"/>
      <c r="M587" s="1421"/>
      <c r="N587" s="1421"/>
      <c r="O587" s="1421"/>
      <c r="P587" s="1421"/>
      <c r="Q587" s="1421"/>
      <c r="R587" s="1421"/>
      <c r="T587" s="22"/>
      <c r="U587" t="s">
        <v>589</v>
      </c>
      <c r="Z587" s="1433"/>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21"/>
      <c r="H588" s="1421"/>
      <c r="I588" s="1421"/>
      <c r="J588" s="1421"/>
      <c r="K588" s="1421"/>
      <c r="L588" s="1421"/>
      <c r="M588" s="1421"/>
      <c r="N588" s="1421"/>
      <c r="O588" s="1421"/>
      <c r="P588" s="1421"/>
      <c r="Q588" s="1421"/>
      <c r="R588" s="1421"/>
      <c r="T588" s="22"/>
      <c r="U588" t="s">
        <v>17</v>
      </c>
      <c r="Z588" s="1433"/>
      <c r="AA588" s="1433"/>
      <c r="AB588" s="1433"/>
      <c r="AC588" s="1433"/>
      <c r="AD588" s="1433"/>
      <c r="AE588" s="1433"/>
      <c r="AF588" s="1433"/>
      <c r="AG588" s="1433"/>
      <c r="AH588" s="1433"/>
      <c r="AI588" s="1433"/>
      <c r="AJ588" s="1433"/>
      <c r="AK588" s="1433"/>
    </row>
    <row r="589" spans="1:110" ht="13" customHeight="1">
      <c r="A589" s="22"/>
      <c r="B589" t="s">
        <v>317</v>
      </c>
      <c r="G589" s="1453"/>
      <c r="H589" s="1453"/>
      <c r="I589" s="1453"/>
      <c r="J589" s="1453"/>
      <c r="K589" s="1453"/>
      <c r="L589" s="1453"/>
      <c r="O589" s="33" t="s">
        <v>207</v>
      </c>
      <c r="P589" s="1419"/>
      <c r="Q589" s="1419"/>
      <c r="R589" s="1419"/>
      <c r="T589" s="22"/>
      <c r="U589" t="s">
        <v>317</v>
      </c>
      <c r="Z589" s="1453"/>
      <c r="AA589" s="1453"/>
      <c r="AB589" s="1453"/>
      <c r="AC589" s="1453"/>
      <c r="AD589" s="1453"/>
      <c r="AE589" s="1453"/>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21"/>
      <c r="I590" s="1421"/>
      <c r="J590" s="1421"/>
      <c r="K590" s="1421"/>
      <c r="L590" s="1421"/>
      <c r="M590" s="1421"/>
      <c r="N590" s="1421"/>
      <c r="O590" s="1421"/>
      <c r="P590" s="1421"/>
      <c r="Q590" s="1421"/>
      <c r="R590" s="1421"/>
      <c r="T590" s="22"/>
      <c r="U590" t="s">
        <v>18</v>
      </c>
      <c r="AA590" s="1421"/>
      <c r="AB590" s="1421"/>
      <c r="AC590" s="1421"/>
      <c r="AD590" s="1421"/>
      <c r="AE590" s="1421"/>
      <c r="AF590" s="1421"/>
      <c r="AG590" s="1421"/>
      <c r="AH590" s="1421"/>
      <c r="AI590" s="1421"/>
      <c r="AJ590" s="1421"/>
      <c r="AK590" s="142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29" t="s">
        <v>678</v>
      </c>
      <c r="O591" s="1429"/>
      <c r="T591" s="22"/>
      <c r="U591" t="s">
        <v>20</v>
      </c>
      <c r="AG591" s="1429" t="s">
        <v>678</v>
      </c>
      <c r="AH591" s="142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420">
        <f>C560</f>
        <v>0</v>
      </c>
      <c r="H593" s="1420"/>
      <c r="I593" s="1420"/>
      <c r="J593" s="1420"/>
      <c r="K593" s="1420"/>
      <c r="L593" s="1420"/>
      <c r="M593" s="1420"/>
      <c r="N593" s="1420"/>
      <c r="O593" s="1420"/>
      <c r="P593" s="1420"/>
      <c r="Q593" s="1420"/>
      <c r="R593" s="1420"/>
      <c r="T593" s="55" t="s">
        <v>465</v>
      </c>
      <c r="U593" t="s">
        <v>472</v>
      </c>
      <c r="Z593" s="1420">
        <f>C561</f>
        <v>0</v>
      </c>
      <c r="AA593" s="1420"/>
      <c r="AB593" s="1420"/>
      <c r="AC593" s="1420"/>
      <c r="AD593" s="1420"/>
      <c r="AE593" s="1420"/>
      <c r="AF593" s="1420"/>
      <c r="AG593" s="1420"/>
      <c r="AH593" s="1420"/>
      <c r="AI593" s="1420"/>
      <c r="AJ593" s="1420"/>
      <c r="AK593" s="142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21"/>
      <c r="H594" s="1421"/>
      <c r="I594" s="1421"/>
      <c r="J594" s="1421"/>
      <c r="K594" s="1421"/>
      <c r="L594" s="1421"/>
      <c r="M594" s="1421"/>
      <c r="N594" s="1421"/>
      <c r="O594" s="1421"/>
      <c r="P594" s="1421"/>
      <c r="Q594" s="1421"/>
      <c r="R594" s="1421"/>
      <c r="S594"/>
      <c r="T594" s="22"/>
      <c r="U594" t="s">
        <v>85</v>
      </c>
      <c r="V594"/>
      <c r="W594"/>
      <c r="X594"/>
      <c r="Y594"/>
      <c r="Z594" s="1421"/>
      <c r="AA594" s="1421"/>
      <c r="AB594" s="1421"/>
      <c r="AC594" s="1421"/>
      <c r="AD594" s="1421"/>
      <c r="AE594" s="1421"/>
      <c r="AF594" s="1421"/>
      <c r="AG594" s="1421"/>
      <c r="AH594" s="1421"/>
      <c r="AI594" s="1421"/>
      <c r="AJ594" s="1421"/>
      <c r="AK594" s="142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21"/>
      <c r="H595" s="1421"/>
      <c r="I595" s="1421"/>
      <c r="J595" s="1421"/>
      <c r="K595" s="1421"/>
      <c r="L595" s="1421"/>
      <c r="M595" s="1421"/>
      <c r="N595" s="1421"/>
      <c r="O595" s="1421"/>
      <c r="P595" s="1421"/>
      <c r="Q595" s="1421"/>
      <c r="R595" s="1421"/>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21"/>
      <c r="H596" s="1421"/>
      <c r="I596" s="1421"/>
      <c r="J596" s="1421"/>
      <c r="K596" s="1421"/>
      <c r="L596" s="1421"/>
      <c r="M596" s="1421"/>
      <c r="N596" s="1421"/>
      <c r="O596" s="1421"/>
      <c r="P596" s="1421"/>
      <c r="Q596" s="1421"/>
      <c r="R596" s="1421"/>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0"/>
      <c r="BH596" s="1502"/>
      <c r="BI596" s="121" t="s">
        <v>484</v>
      </c>
      <c r="BJ596" s="122"/>
      <c r="BK596" s="1500"/>
      <c r="BL596" s="1502"/>
      <c r="BM596" s="3"/>
      <c r="BN596" s="1384" t="s">
        <v>642</v>
      </c>
      <c r="BO596" s="1385"/>
      <c r="BP596" s="1385"/>
      <c r="BQ596" s="1385"/>
      <c r="BR596" s="1386"/>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3" customHeight="1">
      <c r="A597" s="22"/>
      <c r="B597" t="s">
        <v>317</v>
      </c>
      <c r="C597"/>
      <c r="D597"/>
      <c r="E597"/>
      <c r="F597"/>
      <c r="G597" s="1453"/>
      <c r="H597" s="1453"/>
      <c r="I597" s="1453"/>
      <c r="J597" s="1453"/>
      <c r="K597" s="1453"/>
      <c r="L597" s="1453"/>
      <c r="M597"/>
      <c r="N597"/>
      <c r="O597" s="33" t="s">
        <v>207</v>
      </c>
      <c r="P597" s="1419"/>
      <c r="Q597" s="1419"/>
      <c r="R597" s="1419"/>
      <c r="S597"/>
      <c r="T597" s="22"/>
      <c r="U597" t="s">
        <v>317</v>
      </c>
      <c r="V597"/>
      <c r="W597"/>
      <c r="X597"/>
      <c r="Y597"/>
      <c r="Z597" s="1453"/>
      <c r="AA597" s="1453"/>
      <c r="AB597" s="1453"/>
      <c r="AC597" s="1453"/>
      <c r="AD597" s="1453"/>
      <c r="AE597" s="1453"/>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486">
        <f t="shared" ref="BE597:BE631" si="1">IF(AND(AC718&lt;=0.5,AC718&gt;=0.36),1,0)</f>
        <v>0</v>
      </c>
      <c r="BF597" s="1488"/>
      <c r="BG597" s="1500">
        <f t="shared" ref="BG597:BG631" si="2">IF(BE597=1,G718,0)</f>
        <v>0</v>
      </c>
      <c r="BH597" s="1502"/>
      <c r="BI597" s="1486">
        <f t="shared" ref="BI597:BI631" si="3">IF(AND(AC718&lt;=0.35,AC718&gt;0),1,0)</f>
        <v>1</v>
      </c>
      <c r="BJ597" s="1488"/>
      <c r="BK597" s="1500">
        <f t="shared" ref="BK597:BK631" si="4">IF(BI597=1,G718,0)</f>
        <v>45</v>
      </c>
      <c r="BL597" s="1502"/>
      <c r="BM597" s="3"/>
      <c r="BN597" s="1490">
        <f t="shared" ref="BN597:BN631" si="5">IF(B718="SRO/Studio",G718,0)</f>
        <v>45</v>
      </c>
      <c r="BO597" s="1491"/>
      <c r="BP597" s="1491"/>
      <c r="BQ597" s="1491"/>
      <c r="BR597" s="1492"/>
      <c r="BS597" s="1489">
        <f t="shared" ref="BS597:BS631" si="6">IF(B718="1 Bedroom",G718,0)</f>
        <v>0</v>
      </c>
      <c r="BT597" s="1489"/>
      <c r="BU597" s="1489"/>
      <c r="BV597" s="1489"/>
      <c r="BW597" s="1489"/>
      <c r="BX597" s="1489">
        <f t="shared" ref="BX597:BX631" si="7">IF(B718="2 Bedrooms",G718,0)</f>
        <v>0</v>
      </c>
      <c r="BY597" s="1489"/>
      <c r="BZ597" s="1489"/>
      <c r="CA597" s="1489"/>
      <c r="CB597" s="1489"/>
      <c r="CC597" s="1489">
        <f t="shared" ref="CC597:CC631" si="8">IF(B718="3 Bedrooms",G718,0)</f>
        <v>0</v>
      </c>
      <c r="CD597" s="1489"/>
      <c r="CE597" s="1489"/>
      <c r="CF597" s="1489"/>
      <c r="CG597" s="1489"/>
      <c r="CH597" s="1489">
        <f t="shared" ref="CH597:CH631" si="9">IF(B718="4 Bedrooms",G718,0)</f>
        <v>0</v>
      </c>
      <c r="CI597" s="1489"/>
      <c r="CJ597" s="1489"/>
      <c r="CK597" s="1489"/>
      <c r="CL597" s="1489"/>
      <c r="CM597" s="1489">
        <f t="shared" ref="CM597:CM631" si="10">IF(B718="5 Bedrooms",G718,0)</f>
        <v>0</v>
      </c>
      <c r="CN597" s="1489"/>
      <c r="CO597" s="1489"/>
      <c r="CP597" s="1489"/>
      <c r="CQ597" s="1489"/>
      <c r="CR597" s="6"/>
      <c r="CS597" s="1499">
        <f t="shared" ref="CS597:CS631" si="11">IF(AND(B718="SRO/Studio",AC718&lt;=0.3),G718,0)</f>
        <v>45</v>
      </c>
      <c r="CT597" s="1499"/>
      <c r="CU597" s="1499"/>
      <c r="CV597" s="1499"/>
      <c r="CW597" s="1499"/>
      <c r="CX597" s="1499">
        <f t="shared" ref="CX597:CX631" si="12">IF(AND(B718="1 Bedroom",AC718&lt;=0.3),G718,0)</f>
        <v>0</v>
      </c>
      <c r="CY597" s="1499"/>
      <c r="CZ597" s="1499"/>
      <c r="DA597" s="1499"/>
      <c r="DB597" s="1499"/>
      <c r="DC597" s="1499">
        <f t="shared" ref="DC597:DC631" si="13">IF(AND(B718="2 Bedrooms",AC718&lt;=0.3),G718,0)</f>
        <v>0</v>
      </c>
      <c r="DD597" s="1499"/>
      <c r="DE597" s="1499"/>
      <c r="DF597" s="1499"/>
      <c r="DG597" s="1499"/>
      <c r="DH597" s="1499">
        <f t="shared" ref="DH597:DH631" si="14">IF(AND(B718="3 Bedrooms",AC718&lt;=0.3),G718,0)</f>
        <v>0</v>
      </c>
      <c r="DI597" s="1499"/>
      <c r="DJ597" s="1499"/>
      <c r="DK597" s="1499"/>
      <c r="DL597" s="1499"/>
      <c r="DM597" s="1499">
        <f t="shared" ref="DM597:DM631" si="15">IF(AND(B718="4 Bedrooms",AC718&lt;=0.3),G718,0)</f>
        <v>0</v>
      </c>
      <c r="DN597" s="1499"/>
      <c r="DO597" s="1499"/>
      <c r="DP597" s="1499"/>
      <c r="DQ597" s="1499"/>
      <c r="DR597" s="1499">
        <f t="shared" ref="DR597:DR631" si="16">IF(AND(B718="5 Bedrooms",AC718&lt;=0.3),G718,0)</f>
        <v>0</v>
      </c>
      <c r="DS597" s="1499"/>
      <c r="DT597" s="1499"/>
      <c r="DU597" s="1499"/>
      <c r="DV597" s="1499"/>
      <c r="DX597" s="1486">
        <f t="shared" ref="DX597:DX631" si="17">IF(BN597&gt;0,O718,"")</f>
        <v>685</v>
      </c>
      <c r="DY597" s="1487"/>
      <c r="DZ597" s="1487"/>
      <c r="EA597" s="1487"/>
      <c r="EB597" s="1488"/>
      <c r="EC597" s="1486" t="str">
        <f t="shared" ref="EC597:EC631" si="18">IF(BS597&gt;0,O718,"")</f>
        <v/>
      </c>
      <c r="ED597" s="1487"/>
      <c r="EE597" s="1487"/>
      <c r="EF597" s="1487"/>
      <c r="EG597" s="1488"/>
      <c r="EH597" s="1486" t="str">
        <f t="shared" ref="EH597:EH631" si="19">IF(BX597&gt;0,O718,"")</f>
        <v/>
      </c>
      <c r="EI597" s="1487"/>
      <c r="EJ597" s="1487"/>
      <c r="EK597" s="1487"/>
      <c r="EL597" s="1488"/>
      <c r="EM597" s="1486" t="str">
        <f t="shared" ref="EM597:EM631" si="20">IF(CC597&gt;0,O718,"")</f>
        <v/>
      </c>
      <c r="EN597" s="1487"/>
      <c r="EO597" s="1487"/>
      <c r="EP597" s="1487"/>
      <c r="EQ597" s="1488"/>
      <c r="ER597" s="1486" t="str">
        <f t="shared" ref="ER597:ER631" si="21">IF(CH597&gt;0,O718,"")</f>
        <v/>
      </c>
      <c r="ES597" s="1487"/>
      <c r="ET597" s="1487"/>
      <c r="EU597" s="1487"/>
      <c r="EV597" s="1488"/>
      <c r="EW597" s="1486" t="str">
        <f t="shared" ref="EW597:EW631" si="22">IF(CM597&gt;0,O718,"")</f>
        <v/>
      </c>
      <c r="EX597" s="1487"/>
      <c r="EY597" s="1487"/>
      <c r="EZ597" s="1487"/>
      <c r="FA597" s="1488"/>
    </row>
    <row r="598" spans="1:157" s="4" customFormat="1" ht="13" customHeight="1">
      <c r="A598" s="22"/>
      <c r="B598" t="s">
        <v>18</v>
      </c>
      <c r="C598"/>
      <c r="D598"/>
      <c r="E598"/>
      <c r="F598"/>
      <c r="G598"/>
      <c r="H598" s="1421"/>
      <c r="I598" s="1421"/>
      <c r="J598" s="1421"/>
      <c r="K598" s="1421"/>
      <c r="L598" s="1421"/>
      <c r="M598" s="1421"/>
      <c r="N598" s="1421"/>
      <c r="O598" s="1421"/>
      <c r="P598" s="1421"/>
      <c r="Q598" s="1421"/>
      <c r="R598" s="1421"/>
      <c r="S598"/>
      <c r="T598" s="22"/>
      <c r="U598" t="s">
        <v>18</v>
      </c>
      <c r="V598"/>
      <c r="W598"/>
      <c r="X598"/>
      <c r="Y598"/>
      <c r="Z598"/>
      <c r="AA598" s="1421"/>
      <c r="AB598" s="1421"/>
      <c r="AC598" s="1421"/>
      <c r="AD598" s="1421"/>
      <c r="AE598" s="1421"/>
      <c r="AF598" s="1421"/>
      <c r="AG598" s="1421"/>
      <c r="AH598" s="1421"/>
      <c r="AI598" s="1421"/>
      <c r="AJ598" s="1421"/>
      <c r="AK598" s="1421"/>
      <c r="AL598"/>
      <c r="AM598"/>
      <c r="AN598"/>
      <c r="AO598"/>
      <c r="AP598"/>
      <c r="AQ598"/>
      <c r="AR598"/>
      <c r="AS598"/>
      <c r="AT598"/>
      <c r="AU598"/>
      <c r="AV598"/>
      <c r="AW598"/>
      <c r="AX598"/>
      <c r="AY598"/>
      <c r="BA598" s="4" t="s">
        <v>163</v>
      </c>
      <c r="BB598" s="3"/>
      <c r="BC598" s="3"/>
      <c r="BD598" s="3"/>
      <c r="BE598" s="1486">
        <f t="shared" si="1"/>
        <v>1</v>
      </c>
      <c r="BF598" s="1488"/>
      <c r="BG598" s="1500">
        <f t="shared" si="2"/>
        <v>43</v>
      </c>
      <c r="BH598" s="1502"/>
      <c r="BI598" s="1486">
        <f t="shared" si="3"/>
        <v>0</v>
      </c>
      <c r="BJ598" s="1488"/>
      <c r="BK598" s="1500">
        <f t="shared" si="4"/>
        <v>0</v>
      </c>
      <c r="BL598" s="1502"/>
      <c r="BM598" s="3"/>
      <c r="BN598" s="1490">
        <f t="shared" si="5"/>
        <v>43</v>
      </c>
      <c r="BO598" s="1491"/>
      <c r="BP598" s="1491"/>
      <c r="BQ598" s="1491"/>
      <c r="BR598" s="1492"/>
      <c r="BS598" s="1489">
        <f t="shared" si="6"/>
        <v>0</v>
      </c>
      <c r="BT598" s="1489"/>
      <c r="BU598" s="1489"/>
      <c r="BV598" s="1489"/>
      <c r="BW598" s="1489"/>
      <c r="BX598" s="1489">
        <f t="shared" si="7"/>
        <v>0</v>
      </c>
      <c r="BY598" s="1489"/>
      <c r="BZ598" s="1489"/>
      <c r="CA598" s="1489"/>
      <c r="CB598" s="1489"/>
      <c r="CC598" s="1489">
        <f t="shared" si="8"/>
        <v>0</v>
      </c>
      <c r="CD598" s="1489"/>
      <c r="CE598" s="1489"/>
      <c r="CF598" s="1489"/>
      <c r="CG598" s="1489"/>
      <c r="CH598" s="1489">
        <f t="shared" si="9"/>
        <v>0</v>
      </c>
      <c r="CI598" s="1489"/>
      <c r="CJ598" s="1489"/>
      <c r="CK598" s="1489"/>
      <c r="CL598" s="1489"/>
      <c r="CM598" s="1489">
        <f t="shared" si="10"/>
        <v>0</v>
      </c>
      <c r="CN598" s="1489"/>
      <c r="CO598" s="1489"/>
      <c r="CP598" s="1489"/>
      <c r="CQ598" s="1489"/>
      <c r="CR598" s="6"/>
      <c r="CS598" s="1499">
        <f t="shared" si="11"/>
        <v>0</v>
      </c>
      <c r="CT598" s="1499"/>
      <c r="CU598" s="1499"/>
      <c r="CV598" s="1499"/>
      <c r="CW598" s="1499"/>
      <c r="CX598" s="1499">
        <f t="shared" si="12"/>
        <v>0</v>
      </c>
      <c r="CY598" s="1499"/>
      <c r="CZ598" s="1499"/>
      <c r="DA598" s="1499"/>
      <c r="DB598" s="1499"/>
      <c r="DC598" s="1499">
        <f t="shared" si="13"/>
        <v>0</v>
      </c>
      <c r="DD598" s="1499"/>
      <c r="DE598" s="1499"/>
      <c r="DF598" s="1499"/>
      <c r="DG598" s="1499"/>
      <c r="DH598" s="1499">
        <f t="shared" si="14"/>
        <v>0</v>
      </c>
      <c r="DI598" s="1499"/>
      <c r="DJ598" s="1499"/>
      <c r="DK598" s="1499"/>
      <c r="DL598" s="1499"/>
      <c r="DM598" s="1499">
        <f t="shared" si="15"/>
        <v>0</v>
      </c>
      <c r="DN598" s="1499"/>
      <c r="DO598" s="1499"/>
      <c r="DP598" s="1499"/>
      <c r="DQ598" s="1499"/>
      <c r="DR598" s="1499">
        <f t="shared" si="16"/>
        <v>0</v>
      </c>
      <c r="DS598" s="1499"/>
      <c r="DT598" s="1499"/>
      <c r="DU598" s="1499"/>
      <c r="DV598" s="1499"/>
      <c r="DX598" s="1486">
        <f t="shared" si="17"/>
        <v>1216</v>
      </c>
      <c r="DY598" s="1487"/>
      <c r="DZ598" s="1487"/>
      <c r="EA598" s="1487"/>
      <c r="EB598" s="1488"/>
      <c r="EC598" s="1486" t="str">
        <f t="shared" si="18"/>
        <v/>
      </c>
      <c r="ED598" s="1487"/>
      <c r="EE598" s="1487"/>
      <c r="EF598" s="1487"/>
      <c r="EG598" s="1488"/>
      <c r="EH598" s="1486" t="str">
        <f t="shared" si="19"/>
        <v/>
      </c>
      <c r="EI598" s="1487"/>
      <c r="EJ598" s="1487"/>
      <c r="EK598" s="1487"/>
      <c r="EL598" s="1488"/>
      <c r="EM598" s="1486" t="str">
        <f t="shared" si="20"/>
        <v/>
      </c>
      <c r="EN598" s="1487"/>
      <c r="EO598" s="1487"/>
      <c r="EP598" s="1487"/>
      <c r="EQ598" s="1488"/>
      <c r="ER598" s="1486" t="str">
        <f t="shared" si="21"/>
        <v/>
      </c>
      <c r="ES598" s="1487"/>
      <c r="ET598" s="1487"/>
      <c r="EU598" s="1487"/>
      <c r="EV598" s="1488"/>
      <c r="EW598" s="1486" t="str">
        <f t="shared" si="22"/>
        <v/>
      </c>
      <c r="EX598" s="1487"/>
      <c r="EY598" s="1487"/>
      <c r="EZ598" s="1487"/>
      <c r="FA598" s="1488"/>
    </row>
    <row r="599" spans="1:157" ht="13" customHeight="1">
      <c r="A599" s="22"/>
      <c r="B599" t="s">
        <v>20</v>
      </c>
      <c r="N599" s="1429" t="s">
        <v>678</v>
      </c>
      <c r="O599" s="1429"/>
      <c r="T599" s="22"/>
      <c r="U599" t="s">
        <v>20</v>
      </c>
      <c r="AG599" s="1429" t="s">
        <v>678</v>
      </c>
      <c r="AH599" s="1429"/>
      <c r="BA599" s="4" t="s">
        <v>164</v>
      </c>
      <c r="BB599" s="3"/>
      <c r="BC599" s="3"/>
      <c r="BD599" s="3"/>
      <c r="BE599" s="1486">
        <f t="shared" si="1"/>
        <v>0</v>
      </c>
      <c r="BF599" s="1488"/>
      <c r="BG599" s="1500">
        <f t="shared" si="2"/>
        <v>0</v>
      </c>
      <c r="BH599" s="1502"/>
      <c r="BI599" s="1486">
        <f t="shared" si="3"/>
        <v>0</v>
      </c>
      <c r="BJ599" s="1488"/>
      <c r="BK599" s="1500">
        <f t="shared" si="4"/>
        <v>0</v>
      </c>
      <c r="BL599" s="1502"/>
      <c r="BM599" s="3"/>
      <c r="BN599" s="1490">
        <f t="shared" si="5"/>
        <v>89</v>
      </c>
      <c r="BO599" s="1491"/>
      <c r="BP599" s="1491"/>
      <c r="BQ599" s="1491"/>
      <c r="BR599" s="1492"/>
      <c r="BS599" s="1489">
        <f t="shared" si="6"/>
        <v>0</v>
      </c>
      <c r="BT599" s="1489"/>
      <c r="BU599" s="1489"/>
      <c r="BV599" s="1489"/>
      <c r="BW599" s="1489"/>
      <c r="BX599" s="1489">
        <f t="shared" si="7"/>
        <v>0</v>
      </c>
      <c r="BY599" s="1489"/>
      <c r="BZ599" s="1489"/>
      <c r="CA599" s="1489"/>
      <c r="CB599" s="1489"/>
      <c r="CC599" s="1489">
        <f t="shared" si="8"/>
        <v>0</v>
      </c>
      <c r="CD599" s="1489"/>
      <c r="CE599" s="1489"/>
      <c r="CF599" s="1489"/>
      <c r="CG599" s="1489"/>
      <c r="CH599" s="1489">
        <f t="shared" si="9"/>
        <v>0</v>
      </c>
      <c r="CI599" s="1489"/>
      <c r="CJ599" s="1489"/>
      <c r="CK599" s="1489"/>
      <c r="CL599" s="1489"/>
      <c r="CM599" s="1489">
        <f t="shared" si="10"/>
        <v>0</v>
      </c>
      <c r="CN599" s="1489"/>
      <c r="CO599" s="1489"/>
      <c r="CP599" s="1489"/>
      <c r="CQ599" s="1489"/>
      <c r="CR599" s="6"/>
      <c r="CS599" s="1499">
        <f t="shared" si="11"/>
        <v>0</v>
      </c>
      <c r="CT599" s="1499"/>
      <c r="CU599" s="1499"/>
      <c r="CV599" s="1499"/>
      <c r="CW599" s="1499"/>
      <c r="CX599" s="1499">
        <f t="shared" si="12"/>
        <v>0</v>
      </c>
      <c r="CY599" s="1499"/>
      <c r="CZ599" s="1499"/>
      <c r="DA599" s="1499"/>
      <c r="DB599" s="1499"/>
      <c r="DC599" s="1499">
        <f t="shared" si="13"/>
        <v>0</v>
      </c>
      <c r="DD599" s="1499"/>
      <c r="DE599" s="1499"/>
      <c r="DF599" s="1499"/>
      <c r="DG599" s="1499"/>
      <c r="DH599" s="1499">
        <f t="shared" si="14"/>
        <v>0</v>
      </c>
      <c r="DI599" s="1499"/>
      <c r="DJ599" s="1499"/>
      <c r="DK599" s="1499"/>
      <c r="DL599" s="1499"/>
      <c r="DM599" s="1499">
        <f t="shared" si="15"/>
        <v>0</v>
      </c>
      <c r="DN599" s="1499"/>
      <c r="DO599" s="1499"/>
      <c r="DP599" s="1499"/>
      <c r="DQ599" s="1499"/>
      <c r="DR599" s="1499">
        <f t="shared" si="16"/>
        <v>0</v>
      </c>
      <c r="DS599" s="1499"/>
      <c r="DT599" s="1499"/>
      <c r="DU599" s="1499"/>
      <c r="DV599" s="1499"/>
      <c r="DX599" s="1486">
        <f t="shared" si="17"/>
        <v>1481</v>
      </c>
      <c r="DY599" s="1487"/>
      <c r="DZ599" s="1487"/>
      <c r="EA599" s="1487"/>
      <c r="EB599" s="1488"/>
      <c r="EC599" s="1486" t="str">
        <f t="shared" si="18"/>
        <v/>
      </c>
      <c r="ED599" s="1487"/>
      <c r="EE599" s="1487"/>
      <c r="EF599" s="1487"/>
      <c r="EG599" s="1488"/>
      <c r="EH599" s="1486" t="str">
        <f t="shared" si="19"/>
        <v/>
      </c>
      <c r="EI599" s="1487"/>
      <c r="EJ599" s="1487"/>
      <c r="EK599" s="1487"/>
      <c r="EL599" s="1488"/>
      <c r="EM599" s="1486" t="str">
        <f t="shared" si="20"/>
        <v/>
      </c>
      <c r="EN599" s="1487"/>
      <c r="EO599" s="1487"/>
      <c r="EP599" s="1487"/>
      <c r="EQ599" s="1488"/>
      <c r="ER599" s="1486" t="str">
        <f t="shared" si="21"/>
        <v/>
      </c>
      <c r="ES599" s="1487"/>
      <c r="ET599" s="1487"/>
      <c r="EU599" s="1487"/>
      <c r="EV599" s="1488"/>
      <c r="EW599" s="1486" t="str">
        <f t="shared" si="22"/>
        <v/>
      </c>
      <c r="EX599" s="1487"/>
      <c r="EY599" s="1487"/>
      <c r="EZ599" s="1487"/>
      <c r="FA599" s="1488"/>
    </row>
    <row r="600" spans="1:157" ht="13" customHeight="1">
      <c r="A600" s="22"/>
      <c r="T600" s="22"/>
      <c r="BA600" s="4" t="s">
        <v>165</v>
      </c>
      <c r="BB600" s="3"/>
      <c r="BC600" s="3"/>
      <c r="BD600" s="3"/>
      <c r="BE600" s="1486">
        <f t="shared" si="1"/>
        <v>0</v>
      </c>
      <c r="BF600" s="1488"/>
      <c r="BG600" s="1500">
        <f t="shared" si="2"/>
        <v>0</v>
      </c>
      <c r="BH600" s="1502"/>
      <c r="BI600" s="1486">
        <f t="shared" si="3"/>
        <v>0</v>
      </c>
      <c r="BJ600" s="1488"/>
      <c r="BK600" s="1500">
        <f t="shared" si="4"/>
        <v>0</v>
      </c>
      <c r="BL600" s="1502"/>
      <c r="BM600" s="3"/>
      <c r="BN600" s="1490">
        <f t="shared" si="5"/>
        <v>0</v>
      </c>
      <c r="BO600" s="1491"/>
      <c r="BP600" s="1491"/>
      <c r="BQ600" s="1491"/>
      <c r="BR600" s="1492"/>
      <c r="BS600" s="1489">
        <f t="shared" si="6"/>
        <v>0</v>
      </c>
      <c r="BT600" s="1489"/>
      <c r="BU600" s="1489"/>
      <c r="BV600" s="1489"/>
      <c r="BW600" s="1489"/>
      <c r="BX600" s="1489">
        <f t="shared" si="7"/>
        <v>0</v>
      </c>
      <c r="BY600" s="1489"/>
      <c r="BZ600" s="1489"/>
      <c r="CA600" s="1489"/>
      <c r="CB600" s="1489"/>
      <c r="CC600" s="1489">
        <f t="shared" si="8"/>
        <v>0</v>
      </c>
      <c r="CD600" s="1489"/>
      <c r="CE600" s="1489"/>
      <c r="CF600" s="1489"/>
      <c r="CG600" s="1489"/>
      <c r="CH600" s="1489">
        <f t="shared" si="9"/>
        <v>0</v>
      </c>
      <c r="CI600" s="1489"/>
      <c r="CJ600" s="1489"/>
      <c r="CK600" s="1489"/>
      <c r="CL600" s="1489"/>
      <c r="CM600" s="1489">
        <f t="shared" si="10"/>
        <v>0</v>
      </c>
      <c r="CN600" s="1489"/>
      <c r="CO600" s="1489"/>
      <c r="CP600" s="1489"/>
      <c r="CQ600" s="1489"/>
      <c r="CR600" s="6"/>
      <c r="CS600" s="1499">
        <f t="shared" si="11"/>
        <v>0</v>
      </c>
      <c r="CT600" s="1499"/>
      <c r="CU600" s="1499"/>
      <c r="CV600" s="1499"/>
      <c r="CW600" s="1499"/>
      <c r="CX600" s="1499">
        <f t="shared" si="12"/>
        <v>0</v>
      </c>
      <c r="CY600" s="1499"/>
      <c r="CZ600" s="1499"/>
      <c r="DA600" s="1499"/>
      <c r="DB600" s="1499"/>
      <c r="DC600" s="1499">
        <f t="shared" si="13"/>
        <v>0</v>
      </c>
      <c r="DD600" s="1499"/>
      <c r="DE600" s="1499"/>
      <c r="DF600" s="1499"/>
      <c r="DG600" s="1499"/>
      <c r="DH600" s="1499">
        <f t="shared" si="14"/>
        <v>0</v>
      </c>
      <c r="DI600" s="1499"/>
      <c r="DJ600" s="1499"/>
      <c r="DK600" s="1499"/>
      <c r="DL600" s="1499"/>
      <c r="DM600" s="1499">
        <f t="shared" si="15"/>
        <v>0</v>
      </c>
      <c r="DN600" s="1499"/>
      <c r="DO600" s="1499"/>
      <c r="DP600" s="1499"/>
      <c r="DQ600" s="1499"/>
      <c r="DR600" s="1499">
        <f t="shared" si="16"/>
        <v>0</v>
      </c>
      <c r="DS600" s="1499"/>
      <c r="DT600" s="1499"/>
      <c r="DU600" s="1499"/>
      <c r="DV600" s="1499"/>
      <c r="DX600" s="1486" t="str">
        <f t="shared" si="17"/>
        <v/>
      </c>
      <c r="DY600" s="1487"/>
      <c r="DZ600" s="1487"/>
      <c r="EA600" s="1487"/>
      <c r="EB600" s="1488"/>
      <c r="EC600" s="1486" t="str">
        <f t="shared" si="18"/>
        <v/>
      </c>
      <c r="ED600" s="1487"/>
      <c r="EE600" s="1487"/>
      <c r="EF600" s="1487"/>
      <c r="EG600" s="1488"/>
      <c r="EH600" s="1486" t="str">
        <f t="shared" si="19"/>
        <v/>
      </c>
      <c r="EI600" s="1487"/>
      <c r="EJ600" s="1487"/>
      <c r="EK600" s="1487"/>
      <c r="EL600" s="1488"/>
      <c r="EM600" s="1486" t="str">
        <f t="shared" si="20"/>
        <v/>
      </c>
      <c r="EN600" s="1487"/>
      <c r="EO600" s="1487"/>
      <c r="EP600" s="1487"/>
      <c r="EQ600" s="1488"/>
      <c r="ER600" s="1486" t="str">
        <f t="shared" si="21"/>
        <v/>
      </c>
      <c r="ES600" s="1487"/>
      <c r="ET600" s="1487"/>
      <c r="EU600" s="1487"/>
      <c r="EV600" s="1488"/>
      <c r="EW600" s="1486" t="str">
        <f t="shared" si="22"/>
        <v/>
      </c>
      <c r="EX600" s="1487"/>
      <c r="EY600" s="1487"/>
      <c r="EZ600" s="1487"/>
      <c r="FA600" s="1488"/>
    </row>
    <row r="601" spans="1:157" ht="13" customHeight="1">
      <c r="A601" s="55" t="s">
        <v>470</v>
      </c>
      <c r="B601" t="s">
        <v>472</v>
      </c>
      <c r="G601" s="1420">
        <f>C562</f>
        <v>0</v>
      </c>
      <c r="H601" s="1420"/>
      <c r="I601" s="1420"/>
      <c r="J601" s="1420"/>
      <c r="K601" s="1420"/>
      <c r="L601" s="1420"/>
      <c r="M601" s="1420"/>
      <c r="N601" s="1420"/>
      <c r="O601" s="1420"/>
      <c r="P601" s="1420"/>
      <c r="Q601" s="1420"/>
      <c r="R601" s="1420"/>
      <c r="T601" s="55" t="s">
        <v>655</v>
      </c>
      <c r="U601" t="s">
        <v>472</v>
      </c>
      <c r="Z601" s="1420">
        <f>C563</f>
        <v>0</v>
      </c>
      <c r="AA601" s="1420"/>
      <c r="AB601" s="1420"/>
      <c r="AC601" s="1420"/>
      <c r="AD601" s="1420"/>
      <c r="AE601" s="1420"/>
      <c r="AF601" s="1420"/>
      <c r="AG601" s="1420"/>
      <c r="AH601" s="1420"/>
      <c r="AI601" s="1420"/>
      <c r="AJ601" s="1420"/>
      <c r="AK601" s="1420"/>
      <c r="BA601" s="4" t="s">
        <v>30</v>
      </c>
      <c r="BB601" s="3"/>
      <c r="BC601" s="3"/>
      <c r="BD601" s="3"/>
      <c r="BE601" s="1486">
        <f t="shared" si="1"/>
        <v>0</v>
      </c>
      <c r="BF601" s="1488"/>
      <c r="BG601" s="1500">
        <f t="shared" si="2"/>
        <v>0</v>
      </c>
      <c r="BH601" s="1502"/>
      <c r="BI601" s="1486">
        <f t="shared" si="3"/>
        <v>0</v>
      </c>
      <c r="BJ601" s="1488"/>
      <c r="BK601" s="1500">
        <f t="shared" si="4"/>
        <v>0</v>
      </c>
      <c r="BL601" s="1502"/>
      <c r="BM601" s="3"/>
      <c r="BN601" s="1490">
        <f t="shared" si="5"/>
        <v>0</v>
      </c>
      <c r="BO601" s="1491"/>
      <c r="BP601" s="1491"/>
      <c r="BQ601" s="1491"/>
      <c r="BR601" s="1492"/>
      <c r="BS601" s="1489">
        <f t="shared" si="6"/>
        <v>0</v>
      </c>
      <c r="BT601" s="1489"/>
      <c r="BU601" s="1489"/>
      <c r="BV601" s="1489"/>
      <c r="BW601" s="1489"/>
      <c r="BX601" s="1489">
        <f t="shared" si="7"/>
        <v>0</v>
      </c>
      <c r="BY601" s="1489"/>
      <c r="BZ601" s="1489"/>
      <c r="CA601" s="1489"/>
      <c r="CB601" s="1489"/>
      <c r="CC601" s="1489">
        <f t="shared" si="8"/>
        <v>0</v>
      </c>
      <c r="CD601" s="1489"/>
      <c r="CE601" s="1489"/>
      <c r="CF601" s="1489"/>
      <c r="CG601" s="1489"/>
      <c r="CH601" s="1489">
        <f t="shared" si="9"/>
        <v>0</v>
      </c>
      <c r="CI601" s="1489"/>
      <c r="CJ601" s="1489"/>
      <c r="CK601" s="1489"/>
      <c r="CL601" s="1489"/>
      <c r="CM601" s="1489">
        <f t="shared" si="10"/>
        <v>0</v>
      </c>
      <c r="CN601" s="1489"/>
      <c r="CO601" s="1489"/>
      <c r="CP601" s="1489"/>
      <c r="CQ601" s="1489"/>
      <c r="CR601" s="6"/>
      <c r="CS601" s="1499">
        <f t="shared" si="11"/>
        <v>0</v>
      </c>
      <c r="CT601" s="1499"/>
      <c r="CU601" s="1499"/>
      <c r="CV601" s="1499"/>
      <c r="CW601" s="1499"/>
      <c r="CX601" s="1499">
        <f t="shared" si="12"/>
        <v>0</v>
      </c>
      <c r="CY601" s="1499"/>
      <c r="CZ601" s="1499"/>
      <c r="DA601" s="1499"/>
      <c r="DB601" s="1499"/>
      <c r="DC601" s="1499">
        <f t="shared" si="13"/>
        <v>0</v>
      </c>
      <c r="DD601" s="1499"/>
      <c r="DE601" s="1499"/>
      <c r="DF601" s="1499"/>
      <c r="DG601" s="1499"/>
      <c r="DH601" s="1499">
        <f t="shared" si="14"/>
        <v>0</v>
      </c>
      <c r="DI601" s="1499"/>
      <c r="DJ601" s="1499"/>
      <c r="DK601" s="1499"/>
      <c r="DL601" s="1499"/>
      <c r="DM601" s="1499">
        <f t="shared" si="15"/>
        <v>0</v>
      </c>
      <c r="DN601" s="1499"/>
      <c r="DO601" s="1499"/>
      <c r="DP601" s="1499"/>
      <c r="DQ601" s="1499"/>
      <c r="DR601" s="1499">
        <f t="shared" si="16"/>
        <v>0</v>
      </c>
      <c r="DS601" s="1499"/>
      <c r="DT601" s="1499"/>
      <c r="DU601" s="1499"/>
      <c r="DV601" s="1499"/>
      <c r="DX601" s="1486" t="str">
        <f t="shared" si="17"/>
        <v/>
      </c>
      <c r="DY601" s="1487"/>
      <c r="DZ601" s="1487"/>
      <c r="EA601" s="1487"/>
      <c r="EB601" s="1488"/>
      <c r="EC601" s="1486" t="str">
        <f t="shared" si="18"/>
        <v/>
      </c>
      <c r="ED601" s="1487"/>
      <c r="EE601" s="1487"/>
      <c r="EF601" s="1487"/>
      <c r="EG601" s="1488"/>
      <c r="EH601" s="1486" t="str">
        <f t="shared" si="19"/>
        <v/>
      </c>
      <c r="EI601" s="1487"/>
      <c r="EJ601" s="1487"/>
      <c r="EK601" s="1487"/>
      <c r="EL601" s="1488"/>
      <c r="EM601" s="1486" t="str">
        <f t="shared" si="20"/>
        <v/>
      </c>
      <c r="EN601" s="1487"/>
      <c r="EO601" s="1487"/>
      <c r="EP601" s="1487"/>
      <c r="EQ601" s="1488"/>
      <c r="ER601" s="1486" t="str">
        <f t="shared" si="21"/>
        <v/>
      </c>
      <c r="ES601" s="1487"/>
      <c r="ET601" s="1487"/>
      <c r="EU601" s="1487"/>
      <c r="EV601" s="1488"/>
      <c r="EW601" s="1486" t="str">
        <f t="shared" si="22"/>
        <v/>
      </c>
      <c r="EX601" s="1487"/>
      <c r="EY601" s="1487"/>
      <c r="EZ601" s="1487"/>
      <c r="FA601" s="1488"/>
    </row>
    <row r="602" spans="1:157" ht="13" customHeight="1">
      <c r="A602" s="22"/>
      <c r="B602" t="s">
        <v>85</v>
      </c>
      <c r="G602" s="1421"/>
      <c r="H602" s="1421"/>
      <c r="I602" s="1421"/>
      <c r="J602" s="1421"/>
      <c r="K602" s="1421"/>
      <c r="L602" s="1421"/>
      <c r="M602" s="1421"/>
      <c r="N602" s="1421"/>
      <c r="O602" s="1421"/>
      <c r="P602" s="1421"/>
      <c r="Q602" s="1421"/>
      <c r="R602" s="1421"/>
      <c r="T602" s="22"/>
      <c r="U602" t="s">
        <v>85</v>
      </c>
      <c r="Z602" s="1421"/>
      <c r="AA602" s="1421"/>
      <c r="AB602" s="1421"/>
      <c r="AC602" s="1421"/>
      <c r="AD602" s="1421"/>
      <c r="AE602" s="1421"/>
      <c r="AF602" s="1421"/>
      <c r="AG602" s="1421"/>
      <c r="AH602" s="1421"/>
      <c r="AI602" s="1421"/>
      <c r="AJ602" s="1421"/>
      <c r="AK602" s="1421"/>
      <c r="AZ602" s="3"/>
      <c r="BA602" s="3"/>
      <c r="BB602" s="3"/>
      <c r="BC602" s="3"/>
      <c r="BD602" s="3"/>
      <c r="BE602" s="1486">
        <f t="shared" si="1"/>
        <v>0</v>
      </c>
      <c r="BF602" s="1488"/>
      <c r="BG602" s="1500">
        <f t="shared" si="2"/>
        <v>0</v>
      </c>
      <c r="BH602" s="1502"/>
      <c r="BI602" s="1486">
        <f t="shared" si="3"/>
        <v>0</v>
      </c>
      <c r="BJ602" s="1488"/>
      <c r="BK602" s="1500">
        <f t="shared" si="4"/>
        <v>0</v>
      </c>
      <c r="BL602" s="1502"/>
      <c r="BM602" s="3"/>
      <c r="BN602" s="1490">
        <f t="shared" si="5"/>
        <v>0</v>
      </c>
      <c r="BO602" s="1491"/>
      <c r="BP602" s="1491"/>
      <c r="BQ602" s="1491"/>
      <c r="BR602" s="1492"/>
      <c r="BS602" s="1489">
        <f t="shared" si="6"/>
        <v>0</v>
      </c>
      <c r="BT602" s="1489"/>
      <c r="BU602" s="1489"/>
      <c r="BV602" s="1489"/>
      <c r="BW602" s="1489"/>
      <c r="BX602" s="1489">
        <f t="shared" si="7"/>
        <v>0</v>
      </c>
      <c r="BY602" s="1489"/>
      <c r="BZ602" s="1489"/>
      <c r="CA602" s="1489"/>
      <c r="CB602" s="1489"/>
      <c r="CC602" s="1489">
        <f t="shared" si="8"/>
        <v>0</v>
      </c>
      <c r="CD602" s="1489"/>
      <c r="CE602" s="1489"/>
      <c r="CF602" s="1489"/>
      <c r="CG602" s="1489"/>
      <c r="CH602" s="1489">
        <f t="shared" si="9"/>
        <v>0</v>
      </c>
      <c r="CI602" s="1489"/>
      <c r="CJ602" s="1489"/>
      <c r="CK602" s="1489"/>
      <c r="CL602" s="1489"/>
      <c r="CM602" s="1489">
        <f t="shared" si="10"/>
        <v>0</v>
      </c>
      <c r="CN602" s="1489"/>
      <c r="CO602" s="1489"/>
      <c r="CP602" s="1489"/>
      <c r="CQ602" s="1489"/>
      <c r="CR602" s="6"/>
      <c r="CS602" s="1499">
        <f t="shared" si="11"/>
        <v>0</v>
      </c>
      <c r="CT602" s="1499"/>
      <c r="CU602" s="1499"/>
      <c r="CV602" s="1499"/>
      <c r="CW602" s="1499"/>
      <c r="CX602" s="1499">
        <f t="shared" si="12"/>
        <v>0</v>
      </c>
      <c r="CY602" s="1499"/>
      <c r="CZ602" s="1499"/>
      <c r="DA602" s="1499"/>
      <c r="DB602" s="1499"/>
      <c r="DC602" s="1499">
        <f t="shared" si="13"/>
        <v>0</v>
      </c>
      <c r="DD602" s="1499"/>
      <c r="DE602" s="1499"/>
      <c r="DF602" s="1499"/>
      <c r="DG602" s="1499"/>
      <c r="DH602" s="1499">
        <f t="shared" si="14"/>
        <v>0</v>
      </c>
      <c r="DI602" s="1499"/>
      <c r="DJ602" s="1499"/>
      <c r="DK602" s="1499"/>
      <c r="DL602" s="1499"/>
      <c r="DM602" s="1499">
        <f t="shared" si="15"/>
        <v>0</v>
      </c>
      <c r="DN602" s="1499"/>
      <c r="DO602" s="1499"/>
      <c r="DP602" s="1499"/>
      <c r="DQ602" s="1499"/>
      <c r="DR602" s="1499">
        <f t="shared" si="16"/>
        <v>0</v>
      </c>
      <c r="DS602" s="1499"/>
      <c r="DT602" s="1499"/>
      <c r="DU602" s="1499"/>
      <c r="DV602" s="1499"/>
      <c r="DX602" s="1486" t="str">
        <f t="shared" si="17"/>
        <v/>
      </c>
      <c r="DY602" s="1487"/>
      <c r="DZ602" s="1487"/>
      <c r="EA602" s="1487"/>
      <c r="EB602" s="1488"/>
      <c r="EC602" s="1486" t="str">
        <f t="shared" si="18"/>
        <v/>
      </c>
      <c r="ED602" s="1487"/>
      <c r="EE602" s="1487"/>
      <c r="EF602" s="1487"/>
      <c r="EG602" s="1488"/>
      <c r="EH602" s="1486" t="str">
        <f t="shared" si="19"/>
        <v/>
      </c>
      <c r="EI602" s="1487"/>
      <c r="EJ602" s="1487"/>
      <c r="EK602" s="1487"/>
      <c r="EL602" s="1488"/>
      <c r="EM602" s="1486" t="str">
        <f t="shared" si="20"/>
        <v/>
      </c>
      <c r="EN602" s="1487"/>
      <c r="EO602" s="1487"/>
      <c r="EP602" s="1487"/>
      <c r="EQ602" s="1488"/>
      <c r="ER602" s="1486" t="str">
        <f t="shared" si="21"/>
        <v/>
      </c>
      <c r="ES602" s="1487"/>
      <c r="ET602" s="1487"/>
      <c r="EU602" s="1487"/>
      <c r="EV602" s="1488"/>
      <c r="EW602" s="1486" t="str">
        <f t="shared" si="22"/>
        <v/>
      </c>
      <c r="EX602" s="1487"/>
      <c r="EY602" s="1487"/>
      <c r="EZ602" s="1487"/>
      <c r="FA602" s="1488"/>
    </row>
    <row r="603" spans="1:157" ht="13" customHeight="1">
      <c r="A603" s="22"/>
      <c r="B603" t="s">
        <v>589</v>
      </c>
      <c r="G603" s="1421"/>
      <c r="H603" s="1421"/>
      <c r="I603" s="1421"/>
      <c r="J603" s="1421"/>
      <c r="K603" s="1421"/>
      <c r="L603" s="1421"/>
      <c r="M603" s="1421"/>
      <c r="N603" s="1421"/>
      <c r="O603" s="1421"/>
      <c r="P603" s="1421"/>
      <c r="Q603" s="1421"/>
      <c r="R603" s="1421"/>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86">
        <f t="shared" si="1"/>
        <v>0</v>
      </c>
      <c r="BF603" s="1488"/>
      <c r="BG603" s="1500">
        <f t="shared" si="2"/>
        <v>0</v>
      </c>
      <c r="BH603" s="1502"/>
      <c r="BI603" s="1486">
        <f t="shared" si="3"/>
        <v>0</v>
      </c>
      <c r="BJ603" s="1488"/>
      <c r="BK603" s="1500">
        <f t="shared" si="4"/>
        <v>0</v>
      </c>
      <c r="BL603" s="1502"/>
      <c r="BM603" s="3"/>
      <c r="BN603" s="1490">
        <f t="shared" si="5"/>
        <v>0</v>
      </c>
      <c r="BO603" s="1491"/>
      <c r="BP603" s="1491"/>
      <c r="BQ603" s="1491"/>
      <c r="BR603" s="1492"/>
      <c r="BS603" s="1489">
        <f t="shared" si="6"/>
        <v>0</v>
      </c>
      <c r="BT603" s="1489"/>
      <c r="BU603" s="1489"/>
      <c r="BV603" s="1489"/>
      <c r="BW603" s="1489"/>
      <c r="BX603" s="1489">
        <f t="shared" si="7"/>
        <v>0</v>
      </c>
      <c r="BY603" s="1489"/>
      <c r="BZ603" s="1489"/>
      <c r="CA603" s="1489"/>
      <c r="CB603" s="1489"/>
      <c r="CC603" s="1489">
        <f t="shared" si="8"/>
        <v>0</v>
      </c>
      <c r="CD603" s="1489"/>
      <c r="CE603" s="1489"/>
      <c r="CF603" s="1489"/>
      <c r="CG603" s="1489"/>
      <c r="CH603" s="1489">
        <f t="shared" si="9"/>
        <v>0</v>
      </c>
      <c r="CI603" s="1489"/>
      <c r="CJ603" s="1489"/>
      <c r="CK603" s="1489"/>
      <c r="CL603" s="1489"/>
      <c r="CM603" s="1489">
        <f t="shared" si="10"/>
        <v>0</v>
      </c>
      <c r="CN603" s="1489"/>
      <c r="CO603" s="1489"/>
      <c r="CP603" s="1489"/>
      <c r="CQ603" s="1489"/>
      <c r="CR603" s="6"/>
      <c r="CS603" s="1499">
        <f t="shared" si="11"/>
        <v>0</v>
      </c>
      <c r="CT603" s="1499"/>
      <c r="CU603" s="1499"/>
      <c r="CV603" s="1499"/>
      <c r="CW603" s="1499"/>
      <c r="CX603" s="1499">
        <f t="shared" si="12"/>
        <v>0</v>
      </c>
      <c r="CY603" s="1499"/>
      <c r="CZ603" s="1499"/>
      <c r="DA603" s="1499"/>
      <c r="DB603" s="1499"/>
      <c r="DC603" s="1499">
        <f t="shared" si="13"/>
        <v>0</v>
      </c>
      <c r="DD603" s="1499"/>
      <c r="DE603" s="1499"/>
      <c r="DF603" s="1499"/>
      <c r="DG603" s="1499"/>
      <c r="DH603" s="1499">
        <f t="shared" si="14"/>
        <v>0</v>
      </c>
      <c r="DI603" s="1499"/>
      <c r="DJ603" s="1499"/>
      <c r="DK603" s="1499"/>
      <c r="DL603" s="1499"/>
      <c r="DM603" s="1499">
        <f t="shared" si="15"/>
        <v>0</v>
      </c>
      <c r="DN603" s="1499"/>
      <c r="DO603" s="1499"/>
      <c r="DP603" s="1499"/>
      <c r="DQ603" s="1499"/>
      <c r="DR603" s="1499">
        <f t="shared" si="16"/>
        <v>0</v>
      </c>
      <c r="DS603" s="1499"/>
      <c r="DT603" s="1499"/>
      <c r="DU603" s="1499"/>
      <c r="DV603" s="1499"/>
      <c r="DX603" s="1486" t="str">
        <f t="shared" si="17"/>
        <v/>
      </c>
      <c r="DY603" s="1487"/>
      <c r="DZ603" s="1487"/>
      <c r="EA603" s="1487"/>
      <c r="EB603" s="1488"/>
      <c r="EC603" s="1486" t="str">
        <f t="shared" si="18"/>
        <v/>
      </c>
      <c r="ED603" s="1487"/>
      <c r="EE603" s="1487"/>
      <c r="EF603" s="1487"/>
      <c r="EG603" s="1488"/>
      <c r="EH603" s="1486" t="str">
        <f t="shared" si="19"/>
        <v/>
      </c>
      <c r="EI603" s="1487"/>
      <c r="EJ603" s="1487"/>
      <c r="EK603" s="1487"/>
      <c r="EL603" s="1488"/>
      <c r="EM603" s="1486" t="str">
        <f t="shared" si="20"/>
        <v/>
      </c>
      <c r="EN603" s="1487"/>
      <c r="EO603" s="1487"/>
      <c r="EP603" s="1487"/>
      <c r="EQ603" s="1488"/>
      <c r="ER603" s="1486" t="str">
        <f t="shared" si="21"/>
        <v/>
      </c>
      <c r="ES603" s="1487"/>
      <c r="ET603" s="1487"/>
      <c r="EU603" s="1487"/>
      <c r="EV603" s="1488"/>
      <c r="EW603" s="1486" t="str">
        <f t="shared" si="22"/>
        <v/>
      </c>
      <c r="EX603" s="1487"/>
      <c r="EY603" s="1487"/>
      <c r="EZ603" s="1487"/>
      <c r="FA603" s="1488"/>
    </row>
    <row r="604" spans="1:157" ht="13" customHeight="1">
      <c r="A604" s="22"/>
      <c r="B604" t="s">
        <v>17</v>
      </c>
      <c r="G604" s="1421"/>
      <c r="H604" s="1421"/>
      <c r="I604" s="1421"/>
      <c r="J604" s="1421"/>
      <c r="K604" s="1421"/>
      <c r="L604" s="1421"/>
      <c r="M604" s="1421"/>
      <c r="N604" s="1421"/>
      <c r="O604" s="1421"/>
      <c r="P604" s="1421"/>
      <c r="Q604" s="1421"/>
      <c r="R604" s="1421"/>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86">
        <f t="shared" si="1"/>
        <v>0</v>
      </c>
      <c r="BF604" s="1488"/>
      <c r="BG604" s="1500">
        <f t="shared" si="2"/>
        <v>0</v>
      </c>
      <c r="BH604" s="1502"/>
      <c r="BI604" s="1486">
        <f t="shared" si="3"/>
        <v>0</v>
      </c>
      <c r="BJ604" s="1488"/>
      <c r="BK604" s="1500">
        <f t="shared" si="4"/>
        <v>0</v>
      </c>
      <c r="BL604" s="1502"/>
      <c r="BM604" s="3"/>
      <c r="BN604" s="1490">
        <f t="shared" si="5"/>
        <v>0</v>
      </c>
      <c r="BO604" s="1491"/>
      <c r="BP604" s="1491"/>
      <c r="BQ604" s="1491"/>
      <c r="BR604" s="1492"/>
      <c r="BS604" s="1489">
        <f t="shared" si="6"/>
        <v>0</v>
      </c>
      <c r="BT604" s="1489"/>
      <c r="BU604" s="1489"/>
      <c r="BV604" s="1489"/>
      <c r="BW604" s="1489"/>
      <c r="BX604" s="1489">
        <f t="shared" si="7"/>
        <v>0</v>
      </c>
      <c r="BY604" s="1489"/>
      <c r="BZ604" s="1489"/>
      <c r="CA604" s="1489"/>
      <c r="CB604" s="1489"/>
      <c r="CC604" s="1489">
        <f t="shared" si="8"/>
        <v>0</v>
      </c>
      <c r="CD604" s="1489"/>
      <c r="CE604" s="1489"/>
      <c r="CF604" s="1489"/>
      <c r="CG604" s="1489"/>
      <c r="CH604" s="1489">
        <f t="shared" si="9"/>
        <v>0</v>
      </c>
      <c r="CI604" s="1489"/>
      <c r="CJ604" s="1489"/>
      <c r="CK604" s="1489"/>
      <c r="CL604" s="1489"/>
      <c r="CM604" s="1489">
        <f t="shared" si="10"/>
        <v>0</v>
      </c>
      <c r="CN604" s="1489"/>
      <c r="CO604" s="1489"/>
      <c r="CP604" s="1489"/>
      <c r="CQ604" s="1489"/>
      <c r="CR604" s="6"/>
      <c r="CS604" s="1499">
        <f t="shared" si="11"/>
        <v>0</v>
      </c>
      <c r="CT604" s="1499"/>
      <c r="CU604" s="1499"/>
      <c r="CV604" s="1499"/>
      <c r="CW604" s="1499"/>
      <c r="CX604" s="1499">
        <f t="shared" si="12"/>
        <v>0</v>
      </c>
      <c r="CY604" s="1499"/>
      <c r="CZ604" s="1499"/>
      <c r="DA604" s="1499"/>
      <c r="DB604" s="1499"/>
      <c r="DC604" s="1499">
        <f t="shared" si="13"/>
        <v>0</v>
      </c>
      <c r="DD604" s="1499"/>
      <c r="DE604" s="1499"/>
      <c r="DF604" s="1499"/>
      <c r="DG604" s="1499"/>
      <c r="DH604" s="1499">
        <f t="shared" si="14"/>
        <v>0</v>
      </c>
      <c r="DI604" s="1499"/>
      <c r="DJ604" s="1499"/>
      <c r="DK604" s="1499"/>
      <c r="DL604" s="1499"/>
      <c r="DM604" s="1499">
        <f t="shared" si="15"/>
        <v>0</v>
      </c>
      <c r="DN604" s="1499"/>
      <c r="DO604" s="1499"/>
      <c r="DP604" s="1499"/>
      <c r="DQ604" s="1499"/>
      <c r="DR604" s="1499">
        <f t="shared" si="16"/>
        <v>0</v>
      </c>
      <c r="DS604" s="1499"/>
      <c r="DT604" s="1499"/>
      <c r="DU604" s="1499"/>
      <c r="DV604" s="1499"/>
      <c r="DX604" s="1486" t="str">
        <f t="shared" si="17"/>
        <v/>
      </c>
      <c r="DY604" s="1487"/>
      <c r="DZ604" s="1487"/>
      <c r="EA604" s="1487"/>
      <c r="EB604" s="1488"/>
      <c r="EC604" s="1486" t="str">
        <f t="shared" si="18"/>
        <v/>
      </c>
      <c r="ED604" s="1487"/>
      <c r="EE604" s="1487"/>
      <c r="EF604" s="1487"/>
      <c r="EG604" s="1488"/>
      <c r="EH604" s="1486" t="str">
        <f t="shared" si="19"/>
        <v/>
      </c>
      <c r="EI604" s="1487"/>
      <c r="EJ604" s="1487"/>
      <c r="EK604" s="1487"/>
      <c r="EL604" s="1488"/>
      <c r="EM604" s="1486" t="str">
        <f t="shared" si="20"/>
        <v/>
      </c>
      <c r="EN604" s="1487"/>
      <c r="EO604" s="1487"/>
      <c r="EP604" s="1487"/>
      <c r="EQ604" s="1488"/>
      <c r="ER604" s="1486" t="str">
        <f t="shared" si="21"/>
        <v/>
      </c>
      <c r="ES604" s="1487"/>
      <c r="ET604" s="1487"/>
      <c r="EU604" s="1487"/>
      <c r="EV604" s="1488"/>
      <c r="EW604" s="1486" t="str">
        <f t="shared" si="22"/>
        <v/>
      </c>
      <c r="EX604" s="1487"/>
      <c r="EY604" s="1487"/>
      <c r="EZ604" s="1487"/>
      <c r="FA604" s="1488"/>
    </row>
    <row r="605" spans="1:157" s="4" customFormat="1" ht="13" customHeight="1">
      <c r="A605" s="22"/>
      <c r="B605" t="s">
        <v>317</v>
      </c>
      <c r="C605"/>
      <c r="D605"/>
      <c r="E605"/>
      <c r="F605"/>
      <c r="G605" s="1453"/>
      <c r="H605" s="1453"/>
      <c r="I605" s="1453"/>
      <c r="J605" s="1453"/>
      <c r="K605" s="1453"/>
      <c r="L605" s="1453"/>
      <c r="M605"/>
      <c r="N605"/>
      <c r="O605" s="33" t="s">
        <v>207</v>
      </c>
      <c r="P605" s="1419"/>
      <c r="Q605" s="1419"/>
      <c r="R605" s="1419"/>
      <c r="S605"/>
      <c r="T605" s="22"/>
      <c r="U605" t="s">
        <v>317</v>
      </c>
      <c r="V605"/>
      <c r="W605"/>
      <c r="X605"/>
      <c r="Y605"/>
      <c r="Z605" s="1453"/>
      <c r="AA605" s="1453"/>
      <c r="AB605" s="1453"/>
      <c r="AC605" s="1453"/>
      <c r="AD605" s="1453"/>
      <c r="AE605" s="1453"/>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486">
        <f t="shared" si="1"/>
        <v>0</v>
      </c>
      <c r="BF605" s="1488"/>
      <c r="BG605" s="1500">
        <f t="shared" si="2"/>
        <v>0</v>
      </c>
      <c r="BH605" s="1502"/>
      <c r="BI605" s="1486">
        <f t="shared" si="3"/>
        <v>0</v>
      </c>
      <c r="BJ605" s="1488"/>
      <c r="BK605" s="1500">
        <f t="shared" si="4"/>
        <v>0</v>
      </c>
      <c r="BL605" s="1502"/>
      <c r="BM605" s="3"/>
      <c r="BN605" s="1490">
        <f t="shared" si="5"/>
        <v>0</v>
      </c>
      <c r="BO605" s="1491"/>
      <c r="BP605" s="1491"/>
      <c r="BQ605" s="1491"/>
      <c r="BR605" s="1492"/>
      <c r="BS605" s="1489">
        <f t="shared" si="6"/>
        <v>0</v>
      </c>
      <c r="BT605" s="1489"/>
      <c r="BU605" s="1489"/>
      <c r="BV605" s="1489"/>
      <c r="BW605" s="1489"/>
      <c r="BX605" s="1489">
        <f t="shared" si="7"/>
        <v>0</v>
      </c>
      <c r="BY605" s="1489"/>
      <c r="BZ605" s="1489"/>
      <c r="CA605" s="1489"/>
      <c r="CB605" s="1489"/>
      <c r="CC605" s="1489">
        <f t="shared" si="8"/>
        <v>0</v>
      </c>
      <c r="CD605" s="1489"/>
      <c r="CE605" s="1489"/>
      <c r="CF605" s="1489"/>
      <c r="CG605" s="1489"/>
      <c r="CH605" s="1489">
        <f t="shared" si="9"/>
        <v>0</v>
      </c>
      <c r="CI605" s="1489"/>
      <c r="CJ605" s="1489"/>
      <c r="CK605" s="1489"/>
      <c r="CL605" s="1489"/>
      <c r="CM605" s="1489">
        <f t="shared" si="10"/>
        <v>0</v>
      </c>
      <c r="CN605" s="1489"/>
      <c r="CO605" s="1489"/>
      <c r="CP605" s="1489"/>
      <c r="CQ605" s="1489"/>
      <c r="CR605" s="6"/>
      <c r="CS605" s="1499">
        <f t="shared" si="11"/>
        <v>0</v>
      </c>
      <c r="CT605" s="1499"/>
      <c r="CU605" s="1499"/>
      <c r="CV605" s="1499"/>
      <c r="CW605" s="1499"/>
      <c r="CX605" s="1499">
        <f t="shared" si="12"/>
        <v>0</v>
      </c>
      <c r="CY605" s="1499"/>
      <c r="CZ605" s="1499"/>
      <c r="DA605" s="1499"/>
      <c r="DB605" s="1499"/>
      <c r="DC605" s="1499">
        <f t="shared" si="13"/>
        <v>0</v>
      </c>
      <c r="DD605" s="1499"/>
      <c r="DE605" s="1499"/>
      <c r="DF605" s="1499"/>
      <c r="DG605" s="1499"/>
      <c r="DH605" s="1499">
        <f t="shared" si="14"/>
        <v>0</v>
      </c>
      <c r="DI605" s="1499"/>
      <c r="DJ605" s="1499"/>
      <c r="DK605" s="1499"/>
      <c r="DL605" s="1499"/>
      <c r="DM605" s="1499">
        <f t="shared" si="15"/>
        <v>0</v>
      </c>
      <c r="DN605" s="1499"/>
      <c r="DO605" s="1499"/>
      <c r="DP605" s="1499"/>
      <c r="DQ605" s="1499"/>
      <c r="DR605" s="1499">
        <f t="shared" si="16"/>
        <v>0</v>
      </c>
      <c r="DS605" s="1499"/>
      <c r="DT605" s="1499"/>
      <c r="DU605" s="1499"/>
      <c r="DV605" s="1499"/>
      <c r="DX605" s="1486" t="str">
        <f t="shared" si="17"/>
        <v/>
      </c>
      <c r="DY605" s="1487"/>
      <c r="DZ605" s="1487"/>
      <c r="EA605" s="1487"/>
      <c r="EB605" s="1488"/>
      <c r="EC605" s="1486" t="str">
        <f t="shared" si="18"/>
        <v/>
      </c>
      <c r="ED605" s="1487"/>
      <c r="EE605" s="1487"/>
      <c r="EF605" s="1487"/>
      <c r="EG605" s="1488"/>
      <c r="EH605" s="1486" t="str">
        <f t="shared" si="19"/>
        <v/>
      </c>
      <c r="EI605" s="1487"/>
      <c r="EJ605" s="1487"/>
      <c r="EK605" s="1487"/>
      <c r="EL605" s="1488"/>
      <c r="EM605" s="1486" t="str">
        <f t="shared" si="20"/>
        <v/>
      </c>
      <c r="EN605" s="1487"/>
      <c r="EO605" s="1487"/>
      <c r="EP605" s="1487"/>
      <c r="EQ605" s="1488"/>
      <c r="ER605" s="1486" t="str">
        <f t="shared" si="21"/>
        <v/>
      </c>
      <c r="ES605" s="1487"/>
      <c r="ET605" s="1487"/>
      <c r="EU605" s="1487"/>
      <c r="EV605" s="1488"/>
      <c r="EW605" s="1486" t="str">
        <f t="shared" si="22"/>
        <v/>
      </c>
      <c r="EX605" s="1487"/>
      <c r="EY605" s="1487"/>
      <c r="EZ605" s="1487"/>
      <c r="FA605" s="1488"/>
    </row>
    <row r="606" spans="1:157" s="4" customFormat="1" ht="13" customHeight="1">
      <c r="A606" s="22"/>
      <c r="B606" t="s">
        <v>18</v>
      </c>
      <c r="C606"/>
      <c r="D606"/>
      <c r="E606"/>
      <c r="F606"/>
      <c r="G606"/>
      <c r="H606" s="1421"/>
      <c r="I606" s="1421"/>
      <c r="J606" s="1421"/>
      <c r="K606" s="1421"/>
      <c r="L606" s="1421"/>
      <c r="M606" s="1421"/>
      <c r="N606" s="1421"/>
      <c r="O606" s="1421"/>
      <c r="P606" s="1421"/>
      <c r="Q606" s="1421"/>
      <c r="R606" s="1421"/>
      <c r="S606"/>
      <c r="T606" s="22"/>
      <c r="U606" t="s">
        <v>18</v>
      </c>
      <c r="V606"/>
      <c r="W606"/>
      <c r="X606"/>
      <c r="Y606"/>
      <c r="Z606"/>
      <c r="AA606" s="1421"/>
      <c r="AB606" s="1421"/>
      <c r="AC606" s="1421"/>
      <c r="AD606" s="1421"/>
      <c r="AE606" s="1421"/>
      <c r="AF606" s="1421"/>
      <c r="AG606" s="1421"/>
      <c r="AH606" s="1421"/>
      <c r="AI606" s="1421"/>
      <c r="AJ606" s="1421"/>
      <c r="AK606" s="1421"/>
      <c r="AL606"/>
      <c r="AM606"/>
      <c r="AN606"/>
      <c r="AO606"/>
      <c r="AP606"/>
      <c r="AQ606"/>
      <c r="AR606"/>
      <c r="AS606"/>
      <c r="AT606"/>
      <c r="AU606"/>
      <c r="AV606"/>
      <c r="AW606"/>
      <c r="AX606"/>
      <c r="AY606"/>
      <c r="AZ606" s="3"/>
      <c r="BA606" s="3"/>
      <c r="BB606" s="3"/>
      <c r="BC606" s="3"/>
      <c r="BD606" s="3"/>
      <c r="BE606" s="1486">
        <f t="shared" si="1"/>
        <v>0</v>
      </c>
      <c r="BF606" s="1488"/>
      <c r="BG606" s="1500">
        <f t="shared" si="2"/>
        <v>0</v>
      </c>
      <c r="BH606" s="1502"/>
      <c r="BI606" s="1486">
        <f t="shared" si="3"/>
        <v>0</v>
      </c>
      <c r="BJ606" s="1488"/>
      <c r="BK606" s="1500">
        <f t="shared" si="4"/>
        <v>0</v>
      </c>
      <c r="BL606" s="1502"/>
      <c r="BM606" s="3"/>
      <c r="BN606" s="1490">
        <f t="shared" si="5"/>
        <v>0</v>
      </c>
      <c r="BO606" s="1491"/>
      <c r="BP606" s="1491"/>
      <c r="BQ606" s="1491"/>
      <c r="BR606" s="1492"/>
      <c r="BS606" s="1489">
        <f t="shared" si="6"/>
        <v>0</v>
      </c>
      <c r="BT606" s="1489"/>
      <c r="BU606" s="1489"/>
      <c r="BV606" s="1489"/>
      <c r="BW606" s="1489"/>
      <c r="BX606" s="1489">
        <f t="shared" si="7"/>
        <v>0</v>
      </c>
      <c r="BY606" s="1489"/>
      <c r="BZ606" s="1489"/>
      <c r="CA606" s="1489"/>
      <c r="CB606" s="1489"/>
      <c r="CC606" s="1489">
        <f t="shared" si="8"/>
        <v>0</v>
      </c>
      <c r="CD606" s="1489"/>
      <c r="CE606" s="1489"/>
      <c r="CF606" s="1489"/>
      <c r="CG606" s="1489"/>
      <c r="CH606" s="1489">
        <f t="shared" si="9"/>
        <v>0</v>
      </c>
      <c r="CI606" s="1489"/>
      <c r="CJ606" s="1489"/>
      <c r="CK606" s="1489"/>
      <c r="CL606" s="1489"/>
      <c r="CM606" s="1489">
        <f t="shared" si="10"/>
        <v>0</v>
      </c>
      <c r="CN606" s="1489"/>
      <c r="CO606" s="1489"/>
      <c r="CP606" s="1489"/>
      <c r="CQ606" s="1489"/>
      <c r="CR606" s="6"/>
      <c r="CS606" s="1499">
        <f t="shared" si="11"/>
        <v>0</v>
      </c>
      <c r="CT606" s="1499"/>
      <c r="CU606" s="1499"/>
      <c r="CV606" s="1499"/>
      <c r="CW606" s="1499"/>
      <c r="CX606" s="1499">
        <f t="shared" si="12"/>
        <v>0</v>
      </c>
      <c r="CY606" s="1499"/>
      <c r="CZ606" s="1499"/>
      <c r="DA606" s="1499"/>
      <c r="DB606" s="1499"/>
      <c r="DC606" s="1499">
        <f t="shared" si="13"/>
        <v>0</v>
      </c>
      <c r="DD606" s="1499"/>
      <c r="DE606" s="1499"/>
      <c r="DF606" s="1499"/>
      <c r="DG606" s="1499"/>
      <c r="DH606" s="1499">
        <f t="shared" si="14"/>
        <v>0</v>
      </c>
      <c r="DI606" s="1499"/>
      <c r="DJ606" s="1499"/>
      <c r="DK606" s="1499"/>
      <c r="DL606" s="1499"/>
      <c r="DM606" s="1499">
        <f t="shared" si="15"/>
        <v>0</v>
      </c>
      <c r="DN606" s="1499"/>
      <c r="DO606" s="1499"/>
      <c r="DP606" s="1499"/>
      <c r="DQ606" s="1499"/>
      <c r="DR606" s="1499">
        <f t="shared" si="16"/>
        <v>0</v>
      </c>
      <c r="DS606" s="1499"/>
      <c r="DT606" s="1499"/>
      <c r="DU606" s="1499"/>
      <c r="DV606" s="1499"/>
      <c r="DX606" s="1486" t="str">
        <f t="shared" si="17"/>
        <v/>
      </c>
      <c r="DY606" s="1487"/>
      <c r="DZ606" s="1487"/>
      <c r="EA606" s="1487"/>
      <c r="EB606" s="1488"/>
      <c r="EC606" s="1486" t="str">
        <f t="shared" si="18"/>
        <v/>
      </c>
      <c r="ED606" s="1487"/>
      <c r="EE606" s="1487"/>
      <c r="EF606" s="1487"/>
      <c r="EG606" s="1488"/>
      <c r="EH606" s="1486" t="str">
        <f t="shared" si="19"/>
        <v/>
      </c>
      <c r="EI606" s="1487"/>
      <c r="EJ606" s="1487"/>
      <c r="EK606" s="1487"/>
      <c r="EL606" s="1488"/>
      <c r="EM606" s="1486" t="str">
        <f t="shared" si="20"/>
        <v/>
      </c>
      <c r="EN606" s="1487"/>
      <c r="EO606" s="1487"/>
      <c r="EP606" s="1487"/>
      <c r="EQ606" s="1488"/>
      <c r="ER606" s="1486" t="str">
        <f t="shared" si="21"/>
        <v/>
      </c>
      <c r="ES606" s="1487"/>
      <c r="ET606" s="1487"/>
      <c r="EU606" s="1487"/>
      <c r="EV606" s="1488"/>
      <c r="EW606" s="1486" t="str">
        <f t="shared" si="22"/>
        <v/>
      </c>
      <c r="EX606" s="1487"/>
      <c r="EY606" s="1487"/>
      <c r="EZ606" s="1487"/>
      <c r="FA606" s="1488"/>
    </row>
    <row r="607" spans="1:157" s="4" customFormat="1" ht="13" customHeight="1">
      <c r="A607" s="22"/>
      <c r="B607" t="s">
        <v>20</v>
      </c>
      <c r="C607"/>
      <c r="D607"/>
      <c r="E607"/>
      <c r="F607"/>
      <c r="G607"/>
      <c r="H607"/>
      <c r="I607"/>
      <c r="J607"/>
      <c r="K607"/>
      <c r="L607"/>
      <c r="M607"/>
      <c r="N607" s="1429" t="s">
        <v>678</v>
      </c>
      <c r="O607" s="1429"/>
      <c r="P607"/>
      <c r="Q607"/>
      <c r="R607"/>
      <c r="S607"/>
      <c r="T607" s="22"/>
      <c r="U607" t="s">
        <v>20</v>
      </c>
      <c r="V607"/>
      <c r="W607"/>
      <c r="X607"/>
      <c r="Y607"/>
      <c r="Z607"/>
      <c r="AA607"/>
      <c r="AB607"/>
      <c r="AC607"/>
      <c r="AD607"/>
      <c r="AE607"/>
      <c r="AF607"/>
      <c r="AG607" s="1429" t="s">
        <v>678</v>
      </c>
      <c r="AH607" s="1429"/>
      <c r="AI607"/>
      <c r="AJ607"/>
      <c r="AK607"/>
      <c r="AL607"/>
      <c r="AM607"/>
      <c r="AN607"/>
      <c r="AO607"/>
      <c r="AP607"/>
      <c r="AQ607"/>
      <c r="AR607"/>
      <c r="AS607"/>
      <c r="AT607"/>
      <c r="AU607"/>
      <c r="AV607"/>
      <c r="AW607"/>
      <c r="AX607"/>
      <c r="AY607"/>
      <c r="AZ607" s="3"/>
      <c r="BA607" s="3"/>
      <c r="BB607" s="3"/>
      <c r="BC607" s="3"/>
      <c r="BD607" s="3"/>
      <c r="BE607" s="1486">
        <f t="shared" si="1"/>
        <v>0</v>
      </c>
      <c r="BF607" s="1488"/>
      <c r="BG607" s="1500">
        <f t="shared" si="2"/>
        <v>0</v>
      </c>
      <c r="BH607" s="1502"/>
      <c r="BI607" s="1486">
        <f t="shared" si="3"/>
        <v>0</v>
      </c>
      <c r="BJ607" s="1488"/>
      <c r="BK607" s="1500">
        <f t="shared" si="4"/>
        <v>0</v>
      </c>
      <c r="BL607" s="1502"/>
      <c r="BM607" s="3"/>
      <c r="BN607" s="1490">
        <f t="shared" si="5"/>
        <v>0</v>
      </c>
      <c r="BO607" s="1491"/>
      <c r="BP607" s="1491"/>
      <c r="BQ607" s="1491"/>
      <c r="BR607" s="1492"/>
      <c r="BS607" s="1489">
        <f t="shared" si="6"/>
        <v>0</v>
      </c>
      <c r="BT607" s="1489"/>
      <c r="BU607" s="1489"/>
      <c r="BV607" s="1489"/>
      <c r="BW607" s="1489"/>
      <c r="BX607" s="1489">
        <f t="shared" si="7"/>
        <v>0</v>
      </c>
      <c r="BY607" s="1489"/>
      <c r="BZ607" s="1489"/>
      <c r="CA607" s="1489"/>
      <c r="CB607" s="1489"/>
      <c r="CC607" s="1489">
        <f t="shared" si="8"/>
        <v>0</v>
      </c>
      <c r="CD607" s="1489"/>
      <c r="CE607" s="1489"/>
      <c r="CF607" s="1489"/>
      <c r="CG607" s="1489"/>
      <c r="CH607" s="1489">
        <f t="shared" si="9"/>
        <v>0</v>
      </c>
      <c r="CI607" s="1489"/>
      <c r="CJ607" s="1489"/>
      <c r="CK607" s="1489"/>
      <c r="CL607" s="1489"/>
      <c r="CM607" s="1489">
        <f t="shared" si="10"/>
        <v>0</v>
      </c>
      <c r="CN607" s="1489"/>
      <c r="CO607" s="1489"/>
      <c r="CP607" s="1489"/>
      <c r="CQ607" s="1489"/>
      <c r="CR607" s="6"/>
      <c r="CS607" s="1499">
        <f t="shared" si="11"/>
        <v>0</v>
      </c>
      <c r="CT607" s="1499"/>
      <c r="CU607" s="1499"/>
      <c r="CV607" s="1499"/>
      <c r="CW607" s="1499"/>
      <c r="CX607" s="1499">
        <f t="shared" si="12"/>
        <v>0</v>
      </c>
      <c r="CY607" s="1499"/>
      <c r="CZ607" s="1499"/>
      <c r="DA607" s="1499"/>
      <c r="DB607" s="1499"/>
      <c r="DC607" s="1499">
        <f t="shared" si="13"/>
        <v>0</v>
      </c>
      <c r="DD607" s="1499"/>
      <c r="DE607" s="1499"/>
      <c r="DF607" s="1499"/>
      <c r="DG607" s="1499"/>
      <c r="DH607" s="1499">
        <f t="shared" si="14"/>
        <v>0</v>
      </c>
      <c r="DI607" s="1499"/>
      <c r="DJ607" s="1499"/>
      <c r="DK607" s="1499"/>
      <c r="DL607" s="1499"/>
      <c r="DM607" s="1499">
        <f t="shared" si="15"/>
        <v>0</v>
      </c>
      <c r="DN607" s="1499"/>
      <c r="DO607" s="1499"/>
      <c r="DP607" s="1499"/>
      <c r="DQ607" s="1499"/>
      <c r="DR607" s="1499">
        <f t="shared" si="16"/>
        <v>0</v>
      </c>
      <c r="DS607" s="1499"/>
      <c r="DT607" s="1499"/>
      <c r="DU607" s="1499"/>
      <c r="DV607" s="1499"/>
      <c r="DX607" s="1486" t="str">
        <f t="shared" si="17"/>
        <v/>
      </c>
      <c r="DY607" s="1487"/>
      <c r="DZ607" s="1487"/>
      <c r="EA607" s="1487"/>
      <c r="EB607" s="1488"/>
      <c r="EC607" s="1486" t="str">
        <f t="shared" si="18"/>
        <v/>
      </c>
      <c r="ED607" s="1487"/>
      <c r="EE607" s="1487"/>
      <c r="EF607" s="1487"/>
      <c r="EG607" s="1488"/>
      <c r="EH607" s="1486" t="str">
        <f t="shared" si="19"/>
        <v/>
      </c>
      <c r="EI607" s="1487"/>
      <c r="EJ607" s="1487"/>
      <c r="EK607" s="1487"/>
      <c r="EL607" s="1488"/>
      <c r="EM607" s="1486" t="str">
        <f t="shared" si="20"/>
        <v/>
      </c>
      <c r="EN607" s="1487"/>
      <c r="EO607" s="1487"/>
      <c r="EP607" s="1487"/>
      <c r="EQ607" s="1488"/>
      <c r="ER607" s="1486" t="str">
        <f t="shared" si="21"/>
        <v/>
      </c>
      <c r="ES607" s="1487"/>
      <c r="ET607" s="1487"/>
      <c r="EU607" s="1487"/>
      <c r="EV607" s="1488"/>
      <c r="EW607" s="1486" t="str">
        <f t="shared" si="22"/>
        <v/>
      </c>
      <c r="EX607" s="1487"/>
      <c r="EY607" s="1487"/>
      <c r="EZ607" s="1487"/>
      <c r="FA607" s="1488"/>
    </row>
    <row r="608" spans="1:157" ht="13" customHeight="1">
      <c r="A608" s="22"/>
      <c r="T608" s="22"/>
      <c r="AZ608" s="3"/>
      <c r="BA608" s="3"/>
      <c r="BB608" s="3"/>
      <c r="BC608" s="3"/>
      <c r="BD608" s="3"/>
      <c r="BE608" s="1486">
        <f t="shared" si="1"/>
        <v>0</v>
      </c>
      <c r="BF608" s="1488"/>
      <c r="BG608" s="1500">
        <f t="shared" si="2"/>
        <v>0</v>
      </c>
      <c r="BH608" s="1502"/>
      <c r="BI608" s="1486">
        <f t="shared" si="3"/>
        <v>0</v>
      </c>
      <c r="BJ608" s="1488"/>
      <c r="BK608" s="1500">
        <f t="shared" si="4"/>
        <v>0</v>
      </c>
      <c r="BL608" s="1502"/>
      <c r="BM608" s="3"/>
      <c r="BN608" s="1490">
        <f t="shared" si="5"/>
        <v>0</v>
      </c>
      <c r="BO608" s="1491"/>
      <c r="BP608" s="1491"/>
      <c r="BQ608" s="1491"/>
      <c r="BR608" s="1492"/>
      <c r="BS608" s="1489">
        <f t="shared" si="6"/>
        <v>0</v>
      </c>
      <c r="BT608" s="1489"/>
      <c r="BU608" s="1489"/>
      <c r="BV608" s="1489"/>
      <c r="BW608" s="1489"/>
      <c r="BX608" s="1489">
        <f t="shared" si="7"/>
        <v>0</v>
      </c>
      <c r="BY608" s="1489"/>
      <c r="BZ608" s="1489"/>
      <c r="CA608" s="1489"/>
      <c r="CB608" s="1489"/>
      <c r="CC608" s="1489">
        <f t="shared" si="8"/>
        <v>0</v>
      </c>
      <c r="CD608" s="1489"/>
      <c r="CE608" s="1489"/>
      <c r="CF608" s="1489"/>
      <c r="CG608" s="1489"/>
      <c r="CH608" s="1489">
        <f t="shared" si="9"/>
        <v>0</v>
      </c>
      <c r="CI608" s="1489"/>
      <c r="CJ608" s="1489"/>
      <c r="CK608" s="1489"/>
      <c r="CL608" s="1489"/>
      <c r="CM608" s="1489">
        <f t="shared" si="10"/>
        <v>0</v>
      </c>
      <c r="CN608" s="1489"/>
      <c r="CO608" s="1489"/>
      <c r="CP608" s="1489"/>
      <c r="CQ608" s="1489"/>
      <c r="CR608" s="6"/>
      <c r="CS608" s="1499">
        <f t="shared" si="11"/>
        <v>0</v>
      </c>
      <c r="CT608" s="1499"/>
      <c r="CU608" s="1499"/>
      <c r="CV608" s="1499"/>
      <c r="CW608" s="1499"/>
      <c r="CX608" s="1499">
        <f t="shared" si="12"/>
        <v>0</v>
      </c>
      <c r="CY608" s="1499"/>
      <c r="CZ608" s="1499"/>
      <c r="DA608" s="1499"/>
      <c r="DB608" s="1499"/>
      <c r="DC608" s="1499">
        <f t="shared" si="13"/>
        <v>0</v>
      </c>
      <c r="DD608" s="1499"/>
      <c r="DE608" s="1499"/>
      <c r="DF608" s="1499"/>
      <c r="DG608" s="1499"/>
      <c r="DH608" s="1499">
        <f t="shared" si="14"/>
        <v>0</v>
      </c>
      <c r="DI608" s="1499"/>
      <c r="DJ608" s="1499"/>
      <c r="DK608" s="1499"/>
      <c r="DL608" s="1499"/>
      <c r="DM608" s="1499">
        <f t="shared" si="15"/>
        <v>0</v>
      </c>
      <c r="DN608" s="1499"/>
      <c r="DO608" s="1499"/>
      <c r="DP608" s="1499"/>
      <c r="DQ608" s="1499"/>
      <c r="DR608" s="1499">
        <f t="shared" si="16"/>
        <v>0</v>
      </c>
      <c r="DS608" s="1499"/>
      <c r="DT608" s="1499"/>
      <c r="DU608" s="1499"/>
      <c r="DV608" s="1499"/>
      <c r="DX608" s="1486" t="str">
        <f t="shared" si="17"/>
        <v/>
      </c>
      <c r="DY608" s="1487"/>
      <c r="DZ608" s="1487"/>
      <c r="EA608" s="1487"/>
      <c r="EB608" s="1488"/>
      <c r="EC608" s="1486" t="str">
        <f t="shared" si="18"/>
        <v/>
      </c>
      <c r="ED608" s="1487"/>
      <c r="EE608" s="1487"/>
      <c r="EF608" s="1487"/>
      <c r="EG608" s="1488"/>
      <c r="EH608" s="1486" t="str">
        <f t="shared" si="19"/>
        <v/>
      </c>
      <c r="EI608" s="1487"/>
      <c r="EJ608" s="1487"/>
      <c r="EK608" s="1487"/>
      <c r="EL608" s="1488"/>
      <c r="EM608" s="1486" t="str">
        <f t="shared" si="20"/>
        <v/>
      </c>
      <c r="EN608" s="1487"/>
      <c r="EO608" s="1487"/>
      <c r="EP608" s="1487"/>
      <c r="EQ608" s="1488"/>
      <c r="ER608" s="1486" t="str">
        <f t="shared" si="21"/>
        <v/>
      </c>
      <c r="ES608" s="1487"/>
      <c r="ET608" s="1487"/>
      <c r="EU608" s="1487"/>
      <c r="EV608" s="1488"/>
      <c r="EW608" s="1486" t="str">
        <f t="shared" si="22"/>
        <v/>
      </c>
      <c r="EX608" s="1487"/>
      <c r="EY608" s="1487"/>
      <c r="EZ608" s="1487"/>
      <c r="FA608" s="1488"/>
    </row>
    <row r="609" spans="1:157" ht="13" customHeight="1">
      <c r="A609" s="55" t="s">
        <v>363</v>
      </c>
      <c r="B609" t="s">
        <v>472</v>
      </c>
      <c r="G609" s="1420">
        <f>C564</f>
        <v>0</v>
      </c>
      <c r="H609" s="1420"/>
      <c r="I609" s="1420"/>
      <c r="J609" s="1420"/>
      <c r="K609" s="1420"/>
      <c r="L609" s="1420"/>
      <c r="M609" s="1420"/>
      <c r="N609" s="1420"/>
      <c r="O609" s="1420"/>
      <c r="P609" s="1420"/>
      <c r="Q609" s="1420"/>
      <c r="R609" s="1420"/>
      <c r="T609" s="55" t="s">
        <v>364</v>
      </c>
      <c r="U609" t="s">
        <v>472</v>
      </c>
      <c r="Z609" s="1420">
        <f>C565</f>
        <v>0</v>
      </c>
      <c r="AA609" s="1420"/>
      <c r="AB609" s="1420"/>
      <c r="AC609" s="1420"/>
      <c r="AD609" s="1420"/>
      <c r="AE609" s="1420"/>
      <c r="AF609" s="1420"/>
      <c r="AG609" s="1420"/>
      <c r="AH609" s="1420"/>
      <c r="AI609" s="1420"/>
      <c r="AJ609" s="1420"/>
      <c r="AK609" s="1420"/>
      <c r="AZ609" s="3"/>
      <c r="BA609" s="3"/>
      <c r="BB609" s="3"/>
      <c r="BC609" s="3"/>
      <c r="BD609" s="3"/>
      <c r="BE609" s="1486">
        <f t="shared" si="1"/>
        <v>0</v>
      </c>
      <c r="BF609" s="1488"/>
      <c r="BG609" s="1500">
        <f t="shared" si="2"/>
        <v>0</v>
      </c>
      <c r="BH609" s="1502"/>
      <c r="BI609" s="1486">
        <f t="shared" si="3"/>
        <v>0</v>
      </c>
      <c r="BJ609" s="1488"/>
      <c r="BK609" s="1500">
        <f t="shared" si="4"/>
        <v>0</v>
      </c>
      <c r="BL609" s="1502"/>
      <c r="BM609" s="3"/>
      <c r="BN609" s="1490">
        <f t="shared" si="5"/>
        <v>0</v>
      </c>
      <c r="BO609" s="1491"/>
      <c r="BP609" s="1491"/>
      <c r="BQ609" s="1491"/>
      <c r="BR609" s="1492"/>
      <c r="BS609" s="1489">
        <f t="shared" si="6"/>
        <v>0</v>
      </c>
      <c r="BT609" s="1489"/>
      <c r="BU609" s="1489"/>
      <c r="BV609" s="1489"/>
      <c r="BW609" s="1489"/>
      <c r="BX609" s="1489">
        <f t="shared" si="7"/>
        <v>0</v>
      </c>
      <c r="BY609" s="1489"/>
      <c r="BZ609" s="1489"/>
      <c r="CA609" s="1489"/>
      <c r="CB609" s="1489"/>
      <c r="CC609" s="1489">
        <f t="shared" si="8"/>
        <v>0</v>
      </c>
      <c r="CD609" s="1489"/>
      <c r="CE609" s="1489"/>
      <c r="CF609" s="1489"/>
      <c r="CG609" s="1489"/>
      <c r="CH609" s="1489">
        <f t="shared" si="9"/>
        <v>0</v>
      </c>
      <c r="CI609" s="1489"/>
      <c r="CJ609" s="1489"/>
      <c r="CK609" s="1489"/>
      <c r="CL609" s="1489"/>
      <c r="CM609" s="1489">
        <f t="shared" si="10"/>
        <v>0</v>
      </c>
      <c r="CN609" s="1489"/>
      <c r="CO609" s="1489"/>
      <c r="CP609" s="1489"/>
      <c r="CQ609" s="1489"/>
      <c r="CR609" s="6"/>
      <c r="CS609" s="1499">
        <f t="shared" si="11"/>
        <v>0</v>
      </c>
      <c r="CT609" s="1499"/>
      <c r="CU609" s="1499"/>
      <c r="CV609" s="1499"/>
      <c r="CW609" s="1499"/>
      <c r="CX609" s="1499">
        <f t="shared" si="12"/>
        <v>0</v>
      </c>
      <c r="CY609" s="1499"/>
      <c r="CZ609" s="1499"/>
      <c r="DA609" s="1499"/>
      <c r="DB609" s="1499"/>
      <c r="DC609" s="1499">
        <f t="shared" si="13"/>
        <v>0</v>
      </c>
      <c r="DD609" s="1499"/>
      <c r="DE609" s="1499"/>
      <c r="DF609" s="1499"/>
      <c r="DG609" s="1499"/>
      <c r="DH609" s="1499">
        <f t="shared" si="14"/>
        <v>0</v>
      </c>
      <c r="DI609" s="1499"/>
      <c r="DJ609" s="1499"/>
      <c r="DK609" s="1499"/>
      <c r="DL609" s="1499"/>
      <c r="DM609" s="1499">
        <f t="shared" si="15"/>
        <v>0</v>
      </c>
      <c r="DN609" s="1499"/>
      <c r="DO609" s="1499"/>
      <c r="DP609" s="1499"/>
      <c r="DQ609" s="1499"/>
      <c r="DR609" s="1499">
        <f t="shared" si="16"/>
        <v>0</v>
      </c>
      <c r="DS609" s="1499"/>
      <c r="DT609" s="1499"/>
      <c r="DU609" s="1499"/>
      <c r="DV609" s="1499"/>
      <c r="DX609" s="1486" t="str">
        <f t="shared" si="17"/>
        <v/>
      </c>
      <c r="DY609" s="1487"/>
      <c r="DZ609" s="1487"/>
      <c r="EA609" s="1487"/>
      <c r="EB609" s="1488"/>
      <c r="EC609" s="1486" t="str">
        <f t="shared" si="18"/>
        <v/>
      </c>
      <c r="ED609" s="1487"/>
      <c r="EE609" s="1487"/>
      <c r="EF609" s="1487"/>
      <c r="EG609" s="1488"/>
      <c r="EH609" s="1486" t="str">
        <f t="shared" si="19"/>
        <v/>
      </c>
      <c r="EI609" s="1487"/>
      <c r="EJ609" s="1487"/>
      <c r="EK609" s="1487"/>
      <c r="EL609" s="1488"/>
      <c r="EM609" s="1486" t="str">
        <f t="shared" si="20"/>
        <v/>
      </c>
      <c r="EN609" s="1487"/>
      <c r="EO609" s="1487"/>
      <c r="EP609" s="1487"/>
      <c r="EQ609" s="1488"/>
      <c r="ER609" s="1486" t="str">
        <f t="shared" si="21"/>
        <v/>
      </c>
      <c r="ES609" s="1487"/>
      <c r="ET609" s="1487"/>
      <c r="EU609" s="1487"/>
      <c r="EV609" s="1488"/>
      <c r="EW609" s="1486" t="str">
        <f t="shared" si="22"/>
        <v/>
      </c>
      <c r="EX609" s="1487"/>
      <c r="EY609" s="1487"/>
      <c r="EZ609" s="1487"/>
      <c r="FA609" s="1488"/>
    </row>
    <row r="610" spans="1:157" ht="13" customHeight="1">
      <c r="B610" t="s">
        <v>85</v>
      </c>
      <c r="G610" s="1421"/>
      <c r="H610" s="1421"/>
      <c r="I610" s="1421"/>
      <c r="J610" s="1421"/>
      <c r="K610" s="1421"/>
      <c r="L610" s="1421"/>
      <c r="M610" s="1421"/>
      <c r="N610" s="1421"/>
      <c r="O610" s="1421"/>
      <c r="P610" s="1421"/>
      <c r="Q610" s="1421"/>
      <c r="R610" s="1421"/>
      <c r="U610" t="s">
        <v>85</v>
      </c>
      <c r="Z610" s="1421"/>
      <c r="AA610" s="1421"/>
      <c r="AB610" s="1421"/>
      <c r="AC610" s="1421"/>
      <c r="AD610" s="1421"/>
      <c r="AE610" s="1421"/>
      <c r="AF610" s="1421"/>
      <c r="AG610" s="1421"/>
      <c r="AH610" s="1421"/>
      <c r="AI610" s="1421"/>
      <c r="AJ610" s="1421"/>
      <c r="AK610" s="1421"/>
      <c r="AZ610" s="3"/>
      <c r="BA610" s="3"/>
      <c r="BB610" s="3"/>
      <c r="BC610" s="3"/>
      <c r="BD610" s="3"/>
      <c r="BE610" s="1486">
        <f t="shared" si="1"/>
        <v>0</v>
      </c>
      <c r="BF610" s="1488"/>
      <c r="BG610" s="1500">
        <f t="shared" si="2"/>
        <v>0</v>
      </c>
      <c r="BH610" s="1502"/>
      <c r="BI610" s="1486">
        <f t="shared" si="3"/>
        <v>0</v>
      </c>
      <c r="BJ610" s="1488"/>
      <c r="BK610" s="1500">
        <f t="shared" si="4"/>
        <v>0</v>
      </c>
      <c r="BL610" s="1502"/>
      <c r="BM610" s="3"/>
      <c r="BN610" s="1490">
        <f t="shared" si="5"/>
        <v>0</v>
      </c>
      <c r="BO610" s="1491"/>
      <c r="BP610" s="1491"/>
      <c r="BQ610" s="1491"/>
      <c r="BR610" s="1492"/>
      <c r="BS610" s="1489">
        <f t="shared" si="6"/>
        <v>0</v>
      </c>
      <c r="BT610" s="1489"/>
      <c r="BU610" s="1489"/>
      <c r="BV610" s="1489"/>
      <c r="BW610" s="1489"/>
      <c r="BX610" s="1489">
        <f t="shared" si="7"/>
        <v>0</v>
      </c>
      <c r="BY610" s="1489"/>
      <c r="BZ610" s="1489"/>
      <c r="CA610" s="1489"/>
      <c r="CB610" s="1489"/>
      <c r="CC610" s="1489">
        <f t="shared" si="8"/>
        <v>0</v>
      </c>
      <c r="CD610" s="1489"/>
      <c r="CE610" s="1489"/>
      <c r="CF610" s="1489"/>
      <c r="CG610" s="1489"/>
      <c r="CH610" s="1489">
        <f t="shared" si="9"/>
        <v>0</v>
      </c>
      <c r="CI610" s="1489"/>
      <c r="CJ610" s="1489"/>
      <c r="CK610" s="1489"/>
      <c r="CL610" s="1489"/>
      <c r="CM610" s="1489">
        <f t="shared" si="10"/>
        <v>0</v>
      </c>
      <c r="CN610" s="1489"/>
      <c r="CO610" s="1489"/>
      <c r="CP610" s="1489"/>
      <c r="CQ610" s="1489"/>
      <c r="CR610" s="6"/>
      <c r="CS610" s="1499">
        <f t="shared" si="11"/>
        <v>0</v>
      </c>
      <c r="CT610" s="1499"/>
      <c r="CU610" s="1499"/>
      <c r="CV610" s="1499"/>
      <c r="CW610" s="1499"/>
      <c r="CX610" s="1499">
        <f t="shared" si="12"/>
        <v>0</v>
      </c>
      <c r="CY610" s="1499"/>
      <c r="CZ610" s="1499"/>
      <c r="DA610" s="1499"/>
      <c r="DB610" s="1499"/>
      <c r="DC610" s="1499">
        <f t="shared" si="13"/>
        <v>0</v>
      </c>
      <c r="DD610" s="1499"/>
      <c r="DE610" s="1499"/>
      <c r="DF610" s="1499"/>
      <c r="DG610" s="1499"/>
      <c r="DH610" s="1499">
        <f t="shared" si="14"/>
        <v>0</v>
      </c>
      <c r="DI610" s="1499"/>
      <c r="DJ610" s="1499"/>
      <c r="DK610" s="1499"/>
      <c r="DL610" s="1499"/>
      <c r="DM610" s="1499">
        <f t="shared" si="15"/>
        <v>0</v>
      </c>
      <c r="DN610" s="1499"/>
      <c r="DO610" s="1499"/>
      <c r="DP610" s="1499"/>
      <c r="DQ610" s="1499"/>
      <c r="DR610" s="1499">
        <f t="shared" si="16"/>
        <v>0</v>
      </c>
      <c r="DS610" s="1499"/>
      <c r="DT610" s="1499"/>
      <c r="DU610" s="1499"/>
      <c r="DV610" s="1499"/>
      <c r="DX610" s="1486" t="str">
        <f t="shared" si="17"/>
        <v/>
      </c>
      <c r="DY610" s="1487"/>
      <c r="DZ610" s="1487"/>
      <c r="EA610" s="1487"/>
      <c r="EB610" s="1488"/>
      <c r="EC610" s="1486" t="str">
        <f t="shared" si="18"/>
        <v/>
      </c>
      <c r="ED610" s="1487"/>
      <c r="EE610" s="1487"/>
      <c r="EF610" s="1487"/>
      <c r="EG610" s="1488"/>
      <c r="EH610" s="1486" t="str">
        <f t="shared" si="19"/>
        <v/>
      </c>
      <c r="EI610" s="1487"/>
      <c r="EJ610" s="1487"/>
      <c r="EK610" s="1487"/>
      <c r="EL610" s="1488"/>
      <c r="EM610" s="1486" t="str">
        <f t="shared" si="20"/>
        <v/>
      </c>
      <c r="EN610" s="1487"/>
      <c r="EO610" s="1487"/>
      <c r="EP610" s="1487"/>
      <c r="EQ610" s="1488"/>
      <c r="ER610" s="1486" t="str">
        <f t="shared" si="21"/>
        <v/>
      </c>
      <c r="ES610" s="1487"/>
      <c r="ET610" s="1487"/>
      <c r="EU610" s="1487"/>
      <c r="EV610" s="1488"/>
      <c r="EW610" s="1486" t="str">
        <f t="shared" si="22"/>
        <v/>
      </c>
      <c r="EX610" s="1487"/>
      <c r="EY610" s="1487"/>
      <c r="EZ610" s="1487"/>
      <c r="FA610" s="1488"/>
    </row>
    <row r="611" spans="1:157" ht="13" customHeight="1">
      <c r="B611" t="s">
        <v>589</v>
      </c>
      <c r="G611" s="1421"/>
      <c r="H611" s="1421"/>
      <c r="I611" s="1421"/>
      <c r="J611" s="1421"/>
      <c r="K611" s="1421"/>
      <c r="L611" s="1421"/>
      <c r="M611" s="1421"/>
      <c r="N611" s="1421"/>
      <c r="O611" s="1421"/>
      <c r="P611" s="1421"/>
      <c r="Q611" s="1421"/>
      <c r="R611" s="1421"/>
      <c r="U611" t="s">
        <v>589</v>
      </c>
      <c r="Z611" s="1433"/>
      <c r="AA611" s="1433"/>
      <c r="AB611" s="1433"/>
      <c r="AC611" s="1433"/>
      <c r="AD611" s="1433"/>
      <c r="AE611" s="1433"/>
      <c r="AF611" s="1433"/>
      <c r="AG611" s="1433"/>
      <c r="AH611" s="1433"/>
      <c r="AI611" s="1433"/>
      <c r="AJ611" s="1433"/>
      <c r="AK611" s="1433"/>
      <c r="AZ611" s="3"/>
      <c r="BA611" s="3"/>
      <c r="BB611" s="3"/>
      <c r="BC611" s="3"/>
      <c r="BD611" s="3"/>
      <c r="BE611" s="1486">
        <f t="shared" si="1"/>
        <v>0</v>
      </c>
      <c r="BF611" s="1488"/>
      <c r="BG611" s="1500">
        <f t="shared" si="2"/>
        <v>0</v>
      </c>
      <c r="BH611" s="1502"/>
      <c r="BI611" s="1486">
        <f t="shared" si="3"/>
        <v>0</v>
      </c>
      <c r="BJ611" s="1488"/>
      <c r="BK611" s="1500">
        <f t="shared" si="4"/>
        <v>0</v>
      </c>
      <c r="BL611" s="1502"/>
      <c r="BM611" s="3"/>
      <c r="BN611" s="1490">
        <f t="shared" si="5"/>
        <v>0</v>
      </c>
      <c r="BO611" s="1491"/>
      <c r="BP611" s="1491"/>
      <c r="BQ611" s="1491"/>
      <c r="BR611" s="1492"/>
      <c r="BS611" s="1489">
        <f t="shared" si="6"/>
        <v>0</v>
      </c>
      <c r="BT611" s="1489"/>
      <c r="BU611" s="1489"/>
      <c r="BV611" s="1489"/>
      <c r="BW611" s="1489"/>
      <c r="BX611" s="1489">
        <f t="shared" si="7"/>
        <v>0</v>
      </c>
      <c r="BY611" s="1489"/>
      <c r="BZ611" s="1489"/>
      <c r="CA611" s="1489"/>
      <c r="CB611" s="1489"/>
      <c r="CC611" s="1489">
        <f t="shared" si="8"/>
        <v>0</v>
      </c>
      <c r="CD611" s="1489"/>
      <c r="CE611" s="1489"/>
      <c r="CF611" s="1489"/>
      <c r="CG611" s="1489"/>
      <c r="CH611" s="1489">
        <f t="shared" si="9"/>
        <v>0</v>
      </c>
      <c r="CI611" s="1489"/>
      <c r="CJ611" s="1489"/>
      <c r="CK611" s="1489"/>
      <c r="CL611" s="1489"/>
      <c r="CM611" s="1489">
        <f t="shared" si="10"/>
        <v>0</v>
      </c>
      <c r="CN611" s="1489"/>
      <c r="CO611" s="1489"/>
      <c r="CP611" s="1489"/>
      <c r="CQ611" s="1489"/>
      <c r="CR611" s="6"/>
      <c r="CS611" s="1499">
        <f t="shared" si="11"/>
        <v>0</v>
      </c>
      <c r="CT611" s="1499"/>
      <c r="CU611" s="1499"/>
      <c r="CV611" s="1499"/>
      <c r="CW611" s="1499"/>
      <c r="CX611" s="1499">
        <f t="shared" si="12"/>
        <v>0</v>
      </c>
      <c r="CY611" s="1499"/>
      <c r="CZ611" s="1499"/>
      <c r="DA611" s="1499"/>
      <c r="DB611" s="1499"/>
      <c r="DC611" s="1499">
        <f t="shared" si="13"/>
        <v>0</v>
      </c>
      <c r="DD611" s="1499"/>
      <c r="DE611" s="1499"/>
      <c r="DF611" s="1499"/>
      <c r="DG611" s="1499"/>
      <c r="DH611" s="1499">
        <f t="shared" si="14"/>
        <v>0</v>
      </c>
      <c r="DI611" s="1499"/>
      <c r="DJ611" s="1499"/>
      <c r="DK611" s="1499"/>
      <c r="DL611" s="1499"/>
      <c r="DM611" s="1499">
        <f t="shared" si="15"/>
        <v>0</v>
      </c>
      <c r="DN611" s="1499"/>
      <c r="DO611" s="1499"/>
      <c r="DP611" s="1499"/>
      <c r="DQ611" s="1499"/>
      <c r="DR611" s="1499">
        <f t="shared" si="16"/>
        <v>0</v>
      </c>
      <c r="DS611" s="1499"/>
      <c r="DT611" s="1499"/>
      <c r="DU611" s="1499"/>
      <c r="DV611" s="1499"/>
      <c r="DX611" s="1486" t="str">
        <f t="shared" si="17"/>
        <v/>
      </c>
      <c r="DY611" s="1487"/>
      <c r="DZ611" s="1487"/>
      <c r="EA611" s="1487"/>
      <c r="EB611" s="1488"/>
      <c r="EC611" s="1486" t="str">
        <f t="shared" si="18"/>
        <v/>
      </c>
      <c r="ED611" s="1487"/>
      <c r="EE611" s="1487"/>
      <c r="EF611" s="1487"/>
      <c r="EG611" s="1488"/>
      <c r="EH611" s="1486" t="str">
        <f t="shared" si="19"/>
        <v/>
      </c>
      <c r="EI611" s="1487"/>
      <c r="EJ611" s="1487"/>
      <c r="EK611" s="1487"/>
      <c r="EL611" s="1488"/>
      <c r="EM611" s="1486" t="str">
        <f t="shared" si="20"/>
        <v/>
      </c>
      <c r="EN611" s="1487"/>
      <c r="EO611" s="1487"/>
      <c r="EP611" s="1487"/>
      <c r="EQ611" s="1488"/>
      <c r="ER611" s="1486" t="str">
        <f t="shared" si="21"/>
        <v/>
      </c>
      <c r="ES611" s="1487"/>
      <c r="ET611" s="1487"/>
      <c r="EU611" s="1487"/>
      <c r="EV611" s="1488"/>
      <c r="EW611" s="1486" t="str">
        <f t="shared" si="22"/>
        <v/>
      </c>
      <c r="EX611" s="1487"/>
      <c r="EY611" s="1487"/>
      <c r="EZ611" s="1487"/>
      <c r="FA611" s="1488"/>
    </row>
    <row r="612" spans="1:157" ht="13" customHeight="1">
      <c r="B612" t="s">
        <v>17</v>
      </c>
      <c r="G612" s="1421"/>
      <c r="H612" s="1421"/>
      <c r="I612" s="1421"/>
      <c r="J612" s="1421"/>
      <c r="K612" s="1421"/>
      <c r="L612" s="1421"/>
      <c r="M612" s="1421"/>
      <c r="N612" s="1421"/>
      <c r="O612" s="1421"/>
      <c r="P612" s="1421"/>
      <c r="Q612" s="1421"/>
      <c r="R612" s="1421"/>
      <c r="U612" t="s">
        <v>17</v>
      </c>
      <c r="Z612" s="1433"/>
      <c r="AA612" s="1433"/>
      <c r="AB612" s="1433"/>
      <c r="AC612" s="1433"/>
      <c r="AD612" s="1433"/>
      <c r="AE612" s="1433"/>
      <c r="AF612" s="1433"/>
      <c r="AG612" s="1433"/>
      <c r="AH612" s="1433"/>
      <c r="AI612" s="1433"/>
      <c r="AJ612" s="1433"/>
      <c r="AK612" s="1433"/>
      <c r="AZ612" s="3"/>
      <c r="BA612" s="3"/>
      <c r="BB612" s="3"/>
      <c r="BC612" s="3"/>
      <c r="BD612" s="3"/>
      <c r="BE612" s="1486">
        <f t="shared" si="1"/>
        <v>0</v>
      </c>
      <c r="BF612" s="1488"/>
      <c r="BG612" s="1500">
        <f t="shared" si="2"/>
        <v>0</v>
      </c>
      <c r="BH612" s="1502"/>
      <c r="BI612" s="1486">
        <f t="shared" si="3"/>
        <v>0</v>
      </c>
      <c r="BJ612" s="1488"/>
      <c r="BK612" s="1500">
        <f t="shared" si="4"/>
        <v>0</v>
      </c>
      <c r="BL612" s="1502"/>
      <c r="BM612" s="3"/>
      <c r="BN612" s="1490">
        <f t="shared" si="5"/>
        <v>0</v>
      </c>
      <c r="BO612" s="1491"/>
      <c r="BP612" s="1491"/>
      <c r="BQ612" s="1491"/>
      <c r="BR612" s="1492"/>
      <c r="BS612" s="1489">
        <f t="shared" si="6"/>
        <v>0</v>
      </c>
      <c r="BT612" s="1489"/>
      <c r="BU612" s="1489"/>
      <c r="BV612" s="1489"/>
      <c r="BW612" s="1489"/>
      <c r="BX612" s="1489">
        <f t="shared" si="7"/>
        <v>0</v>
      </c>
      <c r="BY612" s="1489"/>
      <c r="BZ612" s="1489"/>
      <c r="CA612" s="1489"/>
      <c r="CB612" s="1489"/>
      <c r="CC612" s="1489">
        <f t="shared" si="8"/>
        <v>0</v>
      </c>
      <c r="CD612" s="1489"/>
      <c r="CE612" s="1489"/>
      <c r="CF612" s="1489"/>
      <c r="CG612" s="1489"/>
      <c r="CH612" s="1489">
        <f t="shared" si="9"/>
        <v>0</v>
      </c>
      <c r="CI612" s="1489"/>
      <c r="CJ612" s="1489"/>
      <c r="CK612" s="1489"/>
      <c r="CL612" s="1489"/>
      <c r="CM612" s="1489">
        <f t="shared" si="10"/>
        <v>0</v>
      </c>
      <c r="CN612" s="1489"/>
      <c r="CO612" s="1489"/>
      <c r="CP612" s="1489"/>
      <c r="CQ612" s="1489"/>
      <c r="CR612" s="6"/>
      <c r="CS612" s="1499">
        <f t="shared" si="11"/>
        <v>0</v>
      </c>
      <c r="CT612" s="1499"/>
      <c r="CU612" s="1499"/>
      <c r="CV612" s="1499"/>
      <c r="CW612" s="1499"/>
      <c r="CX612" s="1499">
        <f t="shared" si="12"/>
        <v>0</v>
      </c>
      <c r="CY612" s="1499"/>
      <c r="CZ612" s="1499"/>
      <c r="DA612" s="1499"/>
      <c r="DB612" s="1499"/>
      <c r="DC612" s="1499">
        <f t="shared" si="13"/>
        <v>0</v>
      </c>
      <c r="DD612" s="1499"/>
      <c r="DE612" s="1499"/>
      <c r="DF612" s="1499"/>
      <c r="DG612" s="1499"/>
      <c r="DH612" s="1499">
        <f t="shared" si="14"/>
        <v>0</v>
      </c>
      <c r="DI612" s="1499"/>
      <c r="DJ612" s="1499"/>
      <c r="DK612" s="1499"/>
      <c r="DL612" s="1499"/>
      <c r="DM612" s="1499">
        <f t="shared" si="15"/>
        <v>0</v>
      </c>
      <c r="DN612" s="1499"/>
      <c r="DO612" s="1499"/>
      <c r="DP612" s="1499"/>
      <c r="DQ612" s="1499"/>
      <c r="DR612" s="1499">
        <f t="shared" si="16"/>
        <v>0</v>
      </c>
      <c r="DS612" s="1499"/>
      <c r="DT612" s="1499"/>
      <c r="DU612" s="1499"/>
      <c r="DV612" s="1499"/>
      <c r="DX612" s="1486" t="str">
        <f t="shared" si="17"/>
        <v/>
      </c>
      <c r="DY612" s="1487"/>
      <c r="DZ612" s="1487"/>
      <c r="EA612" s="1487"/>
      <c r="EB612" s="1488"/>
      <c r="EC612" s="1486" t="str">
        <f t="shared" si="18"/>
        <v/>
      </c>
      <c r="ED612" s="1487"/>
      <c r="EE612" s="1487"/>
      <c r="EF612" s="1487"/>
      <c r="EG612" s="1488"/>
      <c r="EH612" s="1486" t="str">
        <f t="shared" si="19"/>
        <v/>
      </c>
      <c r="EI612" s="1487"/>
      <c r="EJ612" s="1487"/>
      <c r="EK612" s="1487"/>
      <c r="EL612" s="1488"/>
      <c r="EM612" s="1486" t="str">
        <f t="shared" si="20"/>
        <v/>
      </c>
      <c r="EN612" s="1487"/>
      <c r="EO612" s="1487"/>
      <c r="EP612" s="1487"/>
      <c r="EQ612" s="1488"/>
      <c r="ER612" s="1486" t="str">
        <f t="shared" si="21"/>
        <v/>
      </c>
      <c r="ES612" s="1487"/>
      <c r="ET612" s="1487"/>
      <c r="EU612" s="1487"/>
      <c r="EV612" s="1488"/>
      <c r="EW612" s="1486" t="str">
        <f t="shared" si="22"/>
        <v/>
      </c>
      <c r="EX612" s="1487"/>
      <c r="EY612" s="1487"/>
      <c r="EZ612" s="1487"/>
      <c r="FA612" s="1488"/>
    </row>
    <row r="613" spans="1:157" ht="13" customHeight="1">
      <c r="B613" t="s">
        <v>317</v>
      </c>
      <c r="G613" s="1453"/>
      <c r="H613" s="1453"/>
      <c r="I613" s="1453"/>
      <c r="J613" s="1453"/>
      <c r="K613" s="1453"/>
      <c r="L613" s="1453"/>
      <c r="O613" s="33" t="s">
        <v>207</v>
      </c>
      <c r="P613" s="1419"/>
      <c r="Q613" s="1419"/>
      <c r="R613" s="1419"/>
      <c r="U613" t="s">
        <v>317</v>
      </c>
      <c r="Z613" s="1453"/>
      <c r="AA613" s="1453"/>
      <c r="AB613" s="1453"/>
      <c r="AC613" s="1453"/>
      <c r="AD613" s="1453"/>
      <c r="AE613" s="1453"/>
      <c r="AH613" s="33" t="s">
        <v>207</v>
      </c>
      <c r="AI613" s="1419"/>
      <c r="AJ613" s="1419"/>
      <c r="AK613" s="1419"/>
      <c r="AZ613" s="3"/>
      <c r="BA613" s="3"/>
      <c r="BB613" s="3"/>
      <c r="BC613" s="3"/>
      <c r="BD613" s="3"/>
      <c r="BE613" s="1486">
        <f t="shared" si="1"/>
        <v>0</v>
      </c>
      <c r="BF613" s="1488"/>
      <c r="BG613" s="1500">
        <f t="shared" si="2"/>
        <v>0</v>
      </c>
      <c r="BH613" s="1502"/>
      <c r="BI613" s="1486">
        <f t="shared" si="3"/>
        <v>0</v>
      </c>
      <c r="BJ613" s="1488"/>
      <c r="BK613" s="1500">
        <f t="shared" si="4"/>
        <v>0</v>
      </c>
      <c r="BL613" s="1502"/>
      <c r="BM613" s="3"/>
      <c r="BN613" s="1490">
        <f t="shared" si="5"/>
        <v>0</v>
      </c>
      <c r="BO613" s="1491"/>
      <c r="BP613" s="1491"/>
      <c r="BQ613" s="1491"/>
      <c r="BR613" s="1492"/>
      <c r="BS613" s="1489">
        <f t="shared" si="6"/>
        <v>0</v>
      </c>
      <c r="BT613" s="1489"/>
      <c r="BU613" s="1489"/>
      <c r="BV613" s="1489"/>
      <c r="BW613" s="1489"/>
      <c r="BX613" s="1489">
        <f t="shared" si="7"/>
        <v>0</v>
      </c>
      <c r="BY613" s="1489"/>
      <c r="BZ613" s="1489"/>
      <c r="CA613" s="1489"/>
      <c r="CB613" s="1489"/>
      <c r="CC613" s="1489">
        <f t="shared" si="8"/>
        <v>0</v>
      </c>
      <c r="CD613" s="1489"/>
      <c r="CE613" s="1489"/>
      <c r="CF613" s="1489"/>
      <c r="CG613" s="1489"/>
      <c r="CH613" s="1489">
        <f t="shared" si="9"/>
        <v>0</v>
      </c>
      <c r="CI613" s="1489"/>
      <c r="CJ613" s="1489"/>
      <c r="CK613" s="1489"/>
      <c r="CL613" s="1489"/>
      <c r="CM613" s="1489">
        <f t="shared" si="10"/>
        <v>0</v>
      </c>
      <c r="CN613" s="1489"/>
      <c r="CO613" s="1489"/>
      <c r="CP613" s="1489"/>
      <c r="CQ613" s="1489"/>
      <c r="CR613" s="6"/>
      <c r="CS613" s="1499">
        <f t="shared" si="11"/>
        <v>0</v>
      </c>
      <c r="CT613" s="1499"/>
      <c r="CU613" s="1499"/>
      <c r="CV613" s="1499"/>
      <c r="CW613" s="1499"/>
      <c r="CX613" s="1499">
        <f t="shared" si="12"/>
        <v>0</v>
      </c>
      <c r="CY613" s="1499"/>
      <c r="CZ613" s="1499"/>
      <c r="DA613" s="1499"/>
      <c r="DB613" s="1499"/>
      <c r="DC613" s="1499">
        <f t="shared" si="13"/>
        <v>0</v>
      </c>
      <c r="DD613" s="1499"/>
      <c r="DE613" s="1499"/>
      <c r="DF613" s="1499"/>
      <c r="DG613" s="1499"/>
      <c r="DH613" s="1499">
        <f t="shared" si="14"/>
        <v>0</v>
      </c>
      <c r="DI613" s="1499"/>
      <c r="DJ613" s="1499"/>
      <c r="DK613" s="1499"/>
      <c r="DL613" s="1499"/>
      <c r="DM613" s="1499">
        <f t="shared" si="15"/>
        <v>0</v>
      </c>
      <c r="DN613" s="1499"/>
      <c r="DO613" s="1499"/>
      <c r="DP613" s="1499"/>
      <c r="DQ613" s="1499"/>
      <c r="DR613" s="1499">
        <f t="shared" si="16"/>
        <v>0</v>
      </c>
      <c r="DS613" s="1499"/>
      <c r="DT613" s="1499"/>
      <c r="DU613" s="1499"/>
      <c r="DV613" s="1499"/>
      <c r="DX613" s="1486" t="str">
        <f t="shared" si="17"/>
        <v/>
      </c>
      <c r="DY613" s="1487"/>
      <c r="DZ613" s="1487"/>
      <c r="EA613" s="1487"/>
      <c r="EB613" s="1488"/>
      <c r="EC613" s="1486" t="str">
        <f t="shared" si="18"/>
        <v/>
      </c>
      <c r="ED613" s="1487"/>
      <c r="EE613" s="1487"/>
      <c r="EF613" s="1487"/>
      <c r="EG613" s="1488"/>
      <c r="EH613" s="1486" t="str">
        <f t="shared" si="19"/>
        <v/>
      </c>
      <c r="EI613" s="1487"/>
      <c r="EJ613" s="1487"/>
      <c r="EK613" s="1487"/>
      <c r="EL613" s="1488"/>
      <c r="EM613" s="1486" t="str">
        <f t="shared" si="20"/>
        <v/>
      </c>
      <c r="EN613" s="1487"/>
      <c r="EO613" s="1487"/>
      <c r="EP613" s="1487"/>
      <c r="EQ613" s="1488"/>
      <c r="ER613" s="1486" t="str">
        <f t="shared" si="21"/>
        <v/>
      </c>
      <c r="ES613" s="1487"/>
      <c r="ET613" s="1487"/>
      <c r="EU613" s="1487"/>
      <c r="EV613" s="1488"/>
      <c r="EW613" s="1486" t="str">
        <f t="shared" si="22"/>
        <v/>
      </c>
      <c r="EX613" s="1487"/>
      <c r="EY613" s="1487"/>
      <c r="EZ613" s="1487"/>
      <c r="FA613" s="1488"/>
    </row>
    <row r="614" spans="1:157" ht="13" customHeight="1">
      <c r="B614" t="s">
        <v>18</v>
      </c>
      <c r="H614" s="1421"/>
      <c r="I614" s="1421"/>
      <c r="J614" s="1421"/>
      <c r="K614" s="1421"/>
      <c r="L614" s="1421"/>
      <c r="M614" s="1421"/>
      <c r="N614" s="1421"/>
      <c r="O614" s="1421"/>
      <c r="P614" s="1421"/>
      <c r="Q614" s="1421"/>
      <c r="R614" s="1421"/>
      <c r="U614" t="s">
        <v>18</v>
      </c>
      <c r="AA614" s="1421"/>
      <c r="AB614" s="1421"/>
      <c r="AC614" s="1421"/>
      <c r="AD614" s="1421"/>
      <c r="AE614" s="1421"/>
      <c r="AF614" s="1421"/>
      <c r="AG614" s="1421"/>
      <c r="AH614" s="1421"/>
      <c r="AI614" s="1421"/>
      <c r="AJ614" s="1421"/>
      <c r="AK614" s="1421"/>
      <c r="AU614" s="934"/>
      <c r="AV614" s="934"/>
      <c r="AW614" s="934"/>
      <c r="AX614" s="934"/>
      <c r="AY614" s="934"/>
      <c r="AZ614" s="3"/>
      <c r="BA614" s="3"/>
      <c r="BB614" s="3"/>
      <c r="BC614" s="3"/>
      <c r="BD614" s="3"/>
      <c r="BE614" s="1486">
        <f t="shared" si="1"/>
        <v>0</v>
      </c>
      <c r="BF614" s="1488"/>
      <c r="BG614" s="1500">
        <f t="shared" si="2"/>
        <v>0</v>
      </c>
      <c r="BH614" s="1502"/>
      <c r="BI614" s="1486">
        <f t="shared" si="3"/>
        <v>0</v>
      </c>
      <c r="BJ614" s="1488"/>
      <c r="BK614" s="1500">
        <f t="shared" si="4"/>
        <v>0</v>
      </c>
      <c r="BL614" s="1502"/>
      <c r="BM614" s="3"/>
      <c r="BN614" s="1490">
        <f t="shared" si="5"/>
        <v>0</v>
      </c>
      <c r="BO614" s="1491"/>
      <c r="BP614" s="1491"/>
      <c r="BQ614" s="1491"/>
      <c r="BR614" s="1492"/>
      <c r="BS614" s="1489">
        <f t="shared" si="6"/>
        <v>0</v>
      </c>
      <c r="BT614" s="1489"/>
      <c r="BU614" s="1489"/>
      <c r="BV614" s="1489"/>
      <c r="BW614" s="1489"/>
      <c r="BX614" s="1489">
        <f t="shared" si="7"/>
        <v>0</v>
      </c>
      <c r="BY614" s="1489"/>
      <c r="BZ614" s="1489"/>
      <c r="CA614" s="1489"/>
      <c r="CB614" s="1489"/>
      <c r="CC614" s="1489">
        <f t="shared" si="8"/>
        <v>0</v>
      </c>
      <c r="CD614" s="1489"/>
      <c r="CE614" s="1489"/>
      <c r="CF614" s="1489"/>
      <c r="CG614" s="1489"/>
      <c r="CH614" s="1489">
        <f t="shared" si="9"/>
        <v>0</v>
      </c>
      <c r="CI614" s="1489"/>
      <c r="CJ614" s="1489"/>
      <c r="CK614" s="1489"/>
      <c r="CL614" s="1489"/>
      <c r="CM614" s="1489">
        <f t="shared" si="10"/>
        <v>0</v>
      </c>
      <c r="CN614" s="1489"/>
      <c r="CO614" s="1489"/>
      <c r="CP614" s="1489"/>
      <c r="CQ614" s="1489"/>
      <c r="CR614" s="6"/>
      <c r="CS614" s="1499">
        <f t="shared" si="11"/>
        <v>0</v>
      </c>
      <c r="CT614" s="1499"/>
      <c r="CU614" s="1499"/>
      <c r="CV614" s="1499"/>
      <c r="CW614" s="1499"/>
      <c r="CX614" s="1499">
        <f t="shared" si="12"/>
        <v>0</v>
      </c>
      <c r="CY614" s="1499"/>
      <c r="CZ614" s="1499"/>
      <c r="DA614" s="1499"/>
      <c r="DB614" s="1499"/>
      <c r="DC614" s="1499">
        <f t="shared" si="13"/>
        <v>0</v>
      </c>
      <c r="DD614" s="1499"/>
      <c r="DE614" s="1499"/>
      <c r="DF614" s="1499"/>
      <c r="DG614" s="1499"/>
      <c r="DH614" s="1499">
        <f t="shared" si="14"/>
        <v>0</v>
      </c>
      <c r="DI614" s="1499"/>
      <c r="DJ614" s="1499"/>
      <c r="DK614" s="1499"/>
      <c r="DL614" s="1499"/>
      <c r="DM614" s="1499">
        <f t="shared" si="15"/>
        <v>0</v>
      </c>
      <c r="DN614" s="1499"/>
      <c r="DO614" s="1499"/>
      <c r="DP614" s="1499"/>
      <c r="DQ614" s="1499"/>
      <c r="DR614" s="1499">
        <f t="shared" si="16"/>
        <v>0</v>
      </c>
      <c r="DS614" s="1499"/>
      <c r="DT614" s="1499"/>
      <c r="DU614" s="1499"/>
      <c r="DV614" s="1499"/>
      <c r="DX614" s="1486" t="str">
        <f t="shared" si="17"/>
        <v/>
      </c>
      <c r="DY614" s="1487"/>
      <c r="DZ614" s="1487"/>
      <c r="EA614" s="1487"/>
      <c r="EB614" s="1488"/>
      <c r="EC614" s="1486" t="str">
        <f t="shared" si="18"/>
        <v/>
      </c>
      <c r="ED614" s="1487"/>
      <c r="EE614" s="1487"/>
      <c r="EF614" s="1487"/>
      <c r="EG614" s="1488"/>
      <c r="EH614" s="1486" t="str">
        <f t="shared" si="19"/>
        <v/>
      </c>
      <c r="EI614" s="1487"/>
      <c r="EJ614" s="1487"/>
      <c r="EK614" s="1487"/>
      <c r="EL614" s="1488"/>
      <c r="EM614" s="1486" t="str">
        <f t="shared" si="20"/>
        <v/>
      </c>
      <c r="EN614" s="1487"/>
      <c r="EO614" s="1487"/>
      <c r="EP614" s="1487"/>
      <c r="EQ614" s="1488"/>
      <c r="ER614" s="1486" t="str">
        <f t="shared" si="21"/>
        <v/>
      </c>
      <c r="ES614" s="1487"/>
      <c r="ET614" s="1487"/>
      <c r="EU614" s="1487"/>
      <c r="EV614" s="1488"/>
      <c r="EW614" s="1486" t="str">
        <f t="shared" si="22"/>
        <v/>
      </c>
      <c r="EX614" s="1487"/>
      <c r="EY614" s="1487"/>
      <c r="EZ614" s="1487"/>
      <c r="FA614" s="1488"/>
    </row>
    <row r="615" spans="1:157" ht="13" customHeight="1">
      <c r="B615" t="s">
        <v>20</v>
      </c>
      <c r="N615" s="1429" t="s">
        <v>678</v>
      </c>
      <c r="O615" s="1429"/>
      <c r="U615" t="s">
        <v>20</v>
      </c>
      <c r="AG615" s="1429" t="s">
        <v>678</v>
      </c>
      <c r="AH615" s="1429"/>
      <c r="AU615" s="934"/>
      <c r="AV615" s="934"/>
      <c r="AW615" s="934"/>
      <c r="AX615" s="934"/>
      <c r="AY615" s="934"/>
      <c r="AZ615" s="3"/>
      <c r="BA615" s="3"/>
      <c r="BB615" s="3"/>
      <c r="BC615" s="3"/>
      <c r="BD615" s="3"/>
      <c r="BE615" s="1486">
        <f t="shared" si="1"/>
        <v>0</v>
      </c>
      <c r="BF615" s="1488"/>
      <c r="BG615" s="1500">
        <f t="shared" si="2"/>
        <v>0</v>
      </c>
      <c r="BH615" s="1502"/>
      <c r="BI615" s="1486">
        <f t="shared" si="3"/>
        <v>0</v>
      </c>
      <c r="BJ615" s="1488"/>
      <c r="BK615" s="1500">
        <f t="shared" si="4"/>
        <v>0</v>
      </c>
      <c r="BL615" s="1502"/>
      <c r="BM615" s="3"/>
      <c r="BN615" s="1490">
        <f t="shared" si="5"/>
        <v>0</v>
      </c>
      <c r="BO615" s="1491"/>
      <c r="BP615" s="1491"/>
      <c r="BQ615" s="1491"/>
      <c r="BR615" s="1492"/>
      <c r="BS615" s="1489">
        <f t="shared" si="6"/>
        <v>0</v>
      </c>
      <c r="BT615" s="1489"/>
      <c r="BU615" s="1489"/>
      <c r="BV615" s="1489"/>
      <c r="BW615" s="1489"/>
      <c r="BX615" s="1489">
        <f t="shared" si="7"/>
        <v>0</v>
      </c>
      <c r="BY615" s="1489"/>
      <c r="BZ615" s="1489"/>
      <c r="CA615" s="1489"/>
      <c r="CB615" s="1489"/>
      <c r="CC615" s="1489">
        <f t="shared" si="8"/>
        <v>0</v>
      </c>
      <c r="CD615" s="1489"/>
      <c r="CE615" s="1489"/>
      <c r="CF615" s="1489"/>
      <c r="CG615" s="1489"/>
      <c r="CH615" s="1489">
        <f t="shared" si="9"/>
        <v>0</v>
      </c>
      <c r="CI615" s="1489"/>
      <c r="CJ615" s="1489"/>
      <c r="CK615" s="1489"/>
      <c r="CL615" s="1489"/>
      <c r="CM615" s="1489">
        <f t="shared" si="10"/>
        <v>0</v>
      </c>
      <c r="CN615" s="1489"/>
      <c r="CO615" s="1489"/>
      <c r="CP615" s="1489"/>
      <c r="CQ615" s="1489"/>
      <c r="CR615" s="6"/>
      <c r="CS615" s="1499">
        <f t="shared" si="11"/>
        <v>0</v>
      </c>
      <c r="CT615" s="1499"/>
      <c r="CU615" s="1499"/>
      <c r="CV615" s="1499"/>
      <c r="CW615" s="1499"/>
      <c r="CX615" s="1499">
        <f t="shared" si="12"/>
        <v>0</v>
      </c>
      <c r="CY615" s="1499"/>
      <c r="CZ615" s="1499"/>
      <c r="DA615" s="1499"/>
      <c r="DB615" s="1499"/>
      <c r="DC615" s="1499">
        <f t="shared" si="13"/>
        <v>0</v>
      </c>
      <c r="DD615" s="1499"/>
      <c r="DE615" s="1499"/>
      <c r="DF615" s="1499"/>
      <c r="DG615" s="1499"/>
      <c r="DH615" s="1499">
        <f t="shared" si="14"/>
        <v>0</v>
      </c>
      <c r="DI615" s="1499"/>
      <c r="DJ615" s="1499"/>
      <c r="DK615" s="1499"/>
      <c r="DL615" s="1499"/>
      <c r="DM615" s="1499">
        <f t="shared" si="15"/>
        <v>0</v>
      </c>
      <c r="DN615" s="1499"/>
      <c r="DO615" s="1499"/>
      <c r="DP615" s="1499"/>
      <c r="DQ615" s="1499"/>
      <c r="DR615" s="1499">
        <f t="shared" si="16"/>
        <v>0</v>
      </c>
      <c r="DS615" s="1499"/>
      <c r="DT615" s="1499"/>
      <c r="DU615" s="1499"/>
      <c r="DV615" s="1499"/>
      <c r="DX615" s="1486" t="str">
        <f t="shared" si="17"/>
        <v/>
      </c>
      <c r="DY615" s="1487"/>
      <c r="DZ615" s="1487"/>
      <c r="EA615" s="1487"/>
      <c r="EB615" s="1488"/>
      <c r="EC615" s="1486" t="str">
        <f t="shared" si="18"/>
        <v/>
      </c>
      <c r="ED615" s="1487"/>
      <c r="EE615" s="1487"/>
      <c r="EF615" s="1487"/>
      <c r="EG615" s="1488"/>
      <c r="EH615" s="1486" t="str">
        <f t="shared" si="19"/>
        <v/>
      </c>
      <c r="EI615" s="1487"/>
      <c r="EJ615" s="1487"/>
      <c r="EK615" s="1487"/>
      <c r="EL615" s="1488"/>
      <c r="EM615" s="1486" t="str">
        <f t="shared" si="20"/>
        <v/>
      </c>
      <c r="EN615" s="1487"/>
      <c r="EO615" s="1487"/>
      <c r="EP615" s="1487"/>
      <c r="EQ615" s="1488"/>
      <c r="ER615" s="1486" t="str">
        <f t="shared" si="21"/>
        <v/>
      </c>
      <c r="ES615" s="1487"/>
      <c r="ET615" s="1487"/>
      <c r="EU615" s="1487"/>
      <c r="EV615" s="1488"/>
      <c r="EW615" s="1486" t="str">
        <f t="shared" si="22"/>
        <v/>
      </c>
      <c r="EX615" s="1487"/>
      <c r="EY615" s="1487"/>
      <c r="EZ615" s="1487"/>
      <c r="FA615" s="1488"/>
    </row>
    <row r="616" spans="1:157" ht="13" customHeight="1">
      <c r="AZ616" s="3"/>
      <c r="BA616" s="3"/>
      <c r="BB616" s="3"/>
      <c r="BC616" s="3"/>
      <c r="BD616" s="3"/>
      <c r="BE616" s="1486">
        <f t="shared" si="1"/>
        <v>0</v>
      </c>
      <c r="BF616" s="1488"/>
      <c r="BG616" s="1500">
        <f t="shared" si="2"/>
        <v>0</v>
      </c>
      <c r="BH616" s="1502"/>
      <c r="BI616" s="1486">
        <f t="shared" si="3"/>
        <v>0</v>
      </c>
      <c r="BJ616" s="1488"/>
      <c r="BK616" s="1500">
        <f t="shared" si="4"/>
        <v>0</v>
      </c>
      <c r="BL616" s="1502"/>
      <c r="BM616" s="3"/>
      <c r="BN616" s="1490">
        <f t="shared" si="5"/>
        <v>0</v>
      </c>
      <c r="BO616" s="1491"/>
      <c r="BP616" s="1491"/>
      <c r="BQ616" s="1491"/>
      <c r="BR616" s="1492"/>
      <c r="BS616" s="1489">
        <f t="shared" si="6"/>
        <v>0</v>
      </c>
      <c r="BT616" s="1489"/>
      <c r="BU616" s="1489"/>
      <c r="BV616" s="1489"/>
      <c r="BW616" s="1489"/>
      <c r="BX616" s="1489">
        <f t="shared" si="7"/>
        <v>0</v>
      </c>
      <c r="BY616" s="1489"/>
      <c r="BZ616" s="1489"/>
      <c r="CA616" s="1489"/>
      <c r="CB616" s="1489"/>
      <c r="CC616" s="1489">
        <f t="shared" si="8"/>
        <v>0</v>
      </c>
      <c r="CD616" s="1489"/>
      <c r="CE616" s="1489"/>
      <c r="CF616" s="1489"/>
      <c r="CG616" s="1489"/>
      <c r="CH616" s="1489">
        <f t="shared" si="9"/>
        <v>0</v>
      </c>
      <c r="CI616" s="1489"/>
      <c r="CJ616" s="1489"/>
      <c r="CK616" s="1489"/>
      <c r="CL616" s="1489"/>
      <c r="CM616" s="1489">
        <f t="shared" si="10"/>
        <v>0</v>
      </c>
      <c r="CN616" s="1489"/>
      <c r="CO616" s="1489"/>
      <c r="CP616" s="1489"/>
      <c r="CQ616" s="1489"/>
      <c r="CR616" s="6"/>
      <c r="CS616" s="1499">
        <f t="shared" si="11"/>
        <v>0</v>
      </c>
      <c r="CT616" s="1499"/>
      <c r="CU616" s="1499"/>
      <c r="CV616" s="1499"/>
      <c r="CW616" s="1499"/>
      <c r="CX616" s="1499">
        <f t="shared" si="12"/>
        <v>0</v>
      </c>
      <c r="CY616" s="1499"/>
      <c r="CZ616" s="1499"/>
      <c r="DA616" s="1499"/>
      <c r="DB616" s="1499"/>
      <c r="DC616" s="1499">
        <f t="shared" si="13"/>
        <v>0</v>
      </c>
      <c r="DD616" s="1499"/>
      <c r="DE616" s="1499"/>
      <c r="DF616" s="1499"/>
      <c r="DG616" s="1499"/>
      <c r="DH616" s="1499">
        <f t="shared" si="14"/>
        <v>0</v>
      </c>
      <c r="DI616" s="1499"/>
      <c r="DJ616" s="1499"/>
      <c r="DK616" s="1499"/>
      <c r="DL616" s="1499"/>
      <c r="DM616" s="1499">
        <f t="shared" si="15"/>
        <v>0</v>
      </c>
      <c r="DN616" s="1499"/>
      <c r="DO616" s="1499"/>
      <c r="DP616" s="1499"/>
      <c r="DQ616" s="1499"/>
      <c r="DR616" s="1499">
        <f t="shared" si="16"/>
        <v>0</v>
      </c>
      <c r="DS616" s="1499"/>
      <c r="DT616" s="1499"/>
      <c r="DU616" s="1499"/>
      <c r="DV616" s="1499"/>
      <c r="DX616" s="1486" t="str">
        <f t="shared" si="17"/>
        <v/>
      </c>
      <c r="DY616" s="1487"/>
      <c r="DZ616" s="1487"/>
      <c r="EA616" s="1487"/>
      <c r="EB616" s="1488"/>
      <c r="EC616" s="1486" t="str">
        <f t="shared" si="18"/>
        <v/>
      </c>
      <c r="ED616" s="1487"/>
      <c r="EE616" s="1487"/>
      <c r="EF616" s="1487"/>
      <c r="EG616" s="1488"/>
      <c r="EH616" s="1486" t="str">
        <f t="shared" si="19"/>
        <v/>
      </c>
      <c r="EI616" s="1487"/>
      <c r="EJ616" s="1487"/>
      <c r="EK616" s="1487"/>
      <c r="EL616" s="1488"/>
      <c r="EM616" s="1486" t="str">
        <f t="shared" si="20"/>
        <v/>
      </c>
      <c r="EN616" s="1487"/>
      <c r="EO616" s="1487"/>
      <c r="EP616" s="1487"/>
      <c r="EQ616" s="1488"/>
      <c r="ER616" s="1486" t="str">
        <f t="shared" si="21"/>
        <v/>
      </c>
      <c r="ES616" s="1487"/>
      <c r="ET616" s="1487"/>
      <c r="EU616" s="1487"/>
      <c r="EV616" s="1488"/>
      <c r="EW616" s="1486" t="str">
        <f t="shared" si="22"/>
        <v/>
      </c>
      <c r="EX616" s="1487"/>
      <c r="EY616" s="1487"/>
      <c r="EZ616" s="1487"/>
      <c r="FA616" s="1488"/>
    </row>
    <row r="617" spans="1:157" ht="13"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6">
        <f t="shared" si="1"/>
        <v>0</v>
      </c>
      <c r="BF617" s="1488"/>
      <c r="BG617" s="1500">
        <f t="shared" si="2"/>
        <v>0</v>
      </c>
      <c r="BH617" s="1502"/>
      <c r="BI617" s="1486">
        <f t="shared" si="3"/>
        <v>0</v>
      </c>
      <c r="BJ617" s="1488"/>
      <c r="BK617" s="1500">
        <f t="shared" si="4"/>
        <v>0</v>
      </c>
      <c r="BL617" s="1502"/>
      <c r="BM617" s="3"/>
      <c r="BN617" s="1490">
        <f t="shared" si="5"/>
        <v>0</v>
      </c>
      <c r="BO617" s="1491"/>
      <c r="BP617" s="1491"/>
      <c r="BQ617" s="1491"/>
      <c r="BR617" s="1492"/>
      <c r="BS617" s="1489">
        <f t="shared" si="6"/>
        <v>0</v>
      </c>
      <c r="BT617" s="1489"/>
      <c r="BU617" s="1489"/>
      <c r="BV617" s="1489"/>
      <c r="BW617" s="1489"/>
      <c r="BX617" s="1489">
        <f t="shared" si="7"/>
        <v>0</v>
      </c>
      <c r="BY617" s="1489"/>
      <c r="BZ617" s="1489"/>
      <c r="CA617" s="1489"/>
      <c r="CB617" s="1489"/>
      <c r="CC617" s="1489">
        <f t="shared" si="8"/>
        <v>0</v>
      </c>
      <c r="CD617" s="1489"/>
      <c r="CE617" s="1489"/>
      <c r="CF617" s="1489"/>
      <c r="CG617" s="1489"/>
      <c r="CH617" s="1489">
        <f t="shared" si="9"/>
        <v>0</v>
      </c>
      <c r="CI617" s="1489"/>
      <c r="CJ617" s="1489"/>
      <c r="CK617" s="1489"/>
      <c r="CL617" s="1489"/>
      <c r="CM617" s="1489">
        <f t="shared" si="10"/>
        <v>0</v>
      </c>
      <c r="CN617" s="1489"/>
      <c r="CO617" s="1489"/>
      <c r="CP617" s="1489"/>
      <c r="CQ617" s="1489"/>
      <c r="CR617" s="6"/>
      <c r="CS617" s="1499">
        <f t="shared" si="11"/>
        <v>0</v>
      </c>
      <c r="CT617" s="1499"/>
      <c r="CU617" s="1499"/>
      <c r="CV617" s="1499"/>
      <c r="CW617" s="1499"/>
      <c r="CX617" s="1499">
        <f t="shared" si="12"/>
        <v>0</v>
      </c>
      <c r="CY617" s="1499"/>
      <c r="CZ617" s="1499"/>
      <c r="DA617" s="1499"/>
      <c r="DB617" s="1499"/>
      <c r="DC617" s="1499">
        <f t="shared" si="13"/>
        <v>0</v>
      </c>
      <c r="DD617" s="1499"/>
      <c r="DE617" s="1499"/>
      <c r="DF617" s="1499"/>
      <c r="DG617" s="1499"/>
      <c r="DH617" s="1499">
        <f t="shared" si="14"/>
        <v>0</v>
      </c>
      <c r="DI617" s="1499"/>
      <c r="DJ617" s="1499"/>
      <c r="DK617" s="1499"/>
      <c r="DL617" s="1499"/>
      <c r="DM617" s="1499">
        <f t="shared" si="15"/>
        <v>0</v>
      </c>
      <c r="DN617" s="1499"/>
      <c r="DO617" s="1499"/>
      <c r="DP617" s="1499"/>
      <c r="DQ617" s="1499"/>
      <c r="DR617" s="1499">
        <f t="shared" si="16"/>
        <v>0</v>
      </c>
      <c r="DS617" s="1499"/>
      <c r="DT617" s="1499"/>
      <c r="DU617" s="1499"/>
      <c r="DV617" s="1499"/>
      <c r="DX617" s="1486" t="str">
        <f t="shared" si="17"/>
        <v/>
      </c>
      <c r="DY617" s="1487"/>
      <c r="DZ617" s="1487"/>
      <c r="EA617" s="1487"/>
      <c r="EB617" s="1488"/>
      <c r="EC617" s="1486" t="str">
        <f t="shared" si="18"/>
        <v/>
      </c>
      <c r="ED617" s="1487"/>
      <c r="EE617" s="1487"/>
      <c r="EF617" s="1487"/>
      <c r="EG617" s="1488"/>
      <c r="EH617" s="1486" t="str">
        <f t="shared" si="19"/>
        <v/>
      </c>
      <c r="EI617" s="1487"/>
      <c r="EJ617" s="1487"/>
      <c r="EK617" s="1487"/>
      <c r="EL617" s="1488"/>
      <c r="EM617" s="1486" t="str">
        <f t="shared" si="20"/>
        <v/>
      </c>
      <c r="EN617" s="1487"/>
      <c r="EO617" s="1487"/>
      <c r="EP617" s="1487"/>
      <c r="EQ617" s="1488"/>
      <c r="ER617" s="1486" t="str">
        <f t="shared" si="21"/>
        <v/>
      </c>
      <c r="ES617" s="1487"/>
      <c r="ET617" s="1487"/>
      <c r="EU617" s="1487"/>
      <c r="EV617" s="1488"/>
      <c r="EW617" s="1486" t="str">
        <f t="shared" si="22"/>
        <v/>
      </c>
      <c r="EX617" s="1487"/>
      <c r="EY617" s="1487"/>
      <c r="EZ617" s="1487"/>
      <c r="FA617" s="1488"/>
    </row>
    <row r="618" spans="1:157" ht="13"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6">
        <f t="shared" si="1"/>
        <v>0</v>
      </c>
      <c r="BF618" s="1488"/>
      <c r="BG618" s="1500">
        <f t="shared" si="2"/>
        <v>0</v>
      </c>
      <c r="BH618" s="1502"/>
      <c r="BI618" s="1486">
        <f t="shared" si="3"/>
        <v>0</v>
      </c>
      <c r="BJ618" s="1488"/>
      <c r="BK618" s="1500">
        <f t="shared" si="4"/>
        <v>0</v>
      </c>
      <c r="BL618" s="1502"/>
      <c r="BM618" s="3"/>
      <c r="BN618" s="1490">
        <f t="shared" si="5"/>
        <v>0</v>
      </c>
      <c r="BO618" s="1491"/>
      <c r="BP618" s="1491"/>
      <c r="BQ618" s="1491"/>
      <c r="BR618" s="1492"/>
      <c r="BS618" s="1489">
        <f t="shared" si="6"/>
        <v>0</v>
      </c>
      <c r="BT618" s="1489"/>
      <c r="BU618" s="1489"/>
      <c r="BV618" s="1489"/>
      <c r="BW618" s="1489"/>
      <c r="BX618" s="1489">
        <f t="shared" si="7"/>
        <v>0</v>
      </c>
      <c r="BY618" s="1489"/>
      <c r="BZ618" s="1489"/>
      <c r="CA618" s="1489"/>
      <c r="CB618" s="1489"/>
      <c r="CC618" s="1489">
        <f t="shared" si="8"/>
        <v>0</v>
      </c>
      <c r="CD618" s="1489"/>
      <c r="CE618" s="1489"/>
      <c r="CF618" s="1489"/>
      <c r="CG618" s="1489"/>
      <c r="CH618" s="1489">
        <f t="shared" si="9"/>
        <v>0</v>
      </c>
      <c r="CI618" s="1489"/>
      <c r="CJ618" s="1489"/>
      <c r="CK618" s="1489"/>
      <c r="CL618" s="1489"/>
      <c r="CM618" s="1489">
        <f t="shared" si="10"/>
        <v>0</v>
      </c>
      <c r="CN618" s="1489"/>
      <c r="CO618" s="1489"/>
      <c r="CP618" s="1489"/>
      <c r="CQ618" s="1489"/>
      <c r="CR618" s="6"/>
      <c r="CS618" s="1499">
        <f t="shared" si="11"/>
        <v>0</v>
      </c>
      <c r="CT618" s="1499"/>
      <c r="CU618" s="1499"/>
      <c r="CV618" s="1499"/>
      <c r="CW618" s="1499"/>
      <c r="CX618" s="1499">
        <f t="shared" si="12"/>
        <v>0</v>
      </c>
      <c r="CY618" s="1499"/>
      <c r="CZ618" s="1499"/>
      <c r="DA618" s="1499"/>
      <c r="DB618" s="1499"/>
      <c r="DC618" s="1499">
        <f t="shared" si="13"/>
        <v>0</v>
      </c>
      <c r="DD618" s="1499"/>
      <c r="DE618" s="1499"/>
      <c r="DF618" s="1499"/>
      <c r="DG618" s="1499"/>
      <c r="DH618" s="1499">
        <f t="shared" si="14"/>
        <v>0</v>
      </c>
      <c r="DI618" s="1499"/>
      <c r="DJ618" s="1499"/>
      <c r="DK618" s="1499"/>
      <c r="DL618" s="1499"/>
      <c r="DM618" s="1499">
        <f t="shared" si="15"/>
        <v>0</v>
      </c>
      <c r="DN618" s="1499"/>
      <c r="DO618" s="1499"/>
      <c r="DP618" s="1499"/>
      <c r="DQ618" s="1499"/>
      <c r="DR618" s="1499">
        <f t="shared" si="16"/>
        <v>0</v>
      </c>
      <c r="DS618" s="1499"/>
      <c r="DT618" s="1499"/>
      <c r="DU618" s="1499"/>
      <c r="DV618" s="1499"/>
      <c r="DX618" s="1486" t="str">
        <f t="shared" si="17"/>
        <v/>
      </c>
      <c r="DY618" s="1487"/>
      <c r="DZ618" s="1487"/>
      <c r="EA618" s="1487"/>
      <c r="EB618" s="1488"/>
      <c r="EC618" s="1486" t="str">
        <f t="shared" si="18"/>
        <v/>
      </c>
      <c r="ED618" s="1487"/>
      <c r="EE618" s="1487"/>
      <c r="EF618" s="1487"/>
      <c r="EG618" s="1488"/>
      <c r="EH618" s="1486" t="str">
        <f t="shared" si="19"/>
        <v/>
      </c>
      <c r="EI618" s="1487"/>
      <c r="EJ618" s="1487"/>
      <c r="EK618" s="1487"/>
      <c r="EL618" s="1488"/>
      <c r="EM618" s="1486" t="str">
        <f t="shared" si="20"/>
        <v/>
      </c>
      <c r="EN618" s="1487"/>
      <c r="EO618" s="1487"/>
      <c r="EP618" s="1487"/>
      <c r="EQ618" s="1488"/>
      <c r="ER618" s="1486" t="str">
        <f t="shared" si="21"/>
        <v/>
      </c>
      <c r="ES618" s="1487"/>
      <c r="ET618" s="1487"/>
      <c r="EU618" s="1487"/>
      <c r="EV618" s="1488"/>
      <c r="EW618" s="1486" t="str">
        <f t="shared" si="22"/>
        <v/>
      </c>
      <c r="EX618" s="1487"/>
      <c r="EY618" s="1487"/>
      <c r="EZ618" s="1487"/>
      <c r="FA618" s="1488"/>
    </row>
    <row r="619" spans="1:157" ht="13" customHeight="1">
      <c r="AZ619" s="3"/>
      <c r="BA619" s="3"/>
      <c r="BB619" s="3"/>
      <c r="BC619" s="3"/>
      <c r="BD619" s="3"/>
      <c r="BE619" s="1486">
        <f t="shared" si="1"/>
        <v>0</v>
      </c>
      <c r="BF619" s="1488"/>
      <c r="BG619" s="1500">
        <f t="shared" si="2"/>
        <v>0</v>
      </c>
      <c r="BH619" s="1502"/>
      <c r="BI619" s="1486">
        <f t="shared" si="3"/>
        <v>0</v>
      </c>
      <c r="BJ619" s="1488"/>
      <c r="BK619" s="1500">
        <f t="shared" si="4"/>
        <v>0</v>
      </c>
      <c r="BL619" s="1502"/>
      <c r="BM619" s="3"/>
      <c r="BN619" s="1490">
        <f t="shared" si="5"/>
        <v>0</v>
      </c>
      <c r="BO619" s="1491"/>
      <c r="BP619" s="1491"/>
      <c r="BQ619" s="1491"/>
      <c r="BR619" s="1492"/>
      <c r="BS619" s="1489">
        <f t="shared" si="6"/>
        <v>0</v>
      </c>
      <c r="BT619" s="1489"/>
      <c r="BU619" s="1489"/>
      <c r="BV619" s="1489"/>
      <c r="BW619" s="1489"/>
      <c r="BX619" s="1489">
        <f t="shared" si="7"/>
        <v>0</v>
      </c>
      <c r="BY619" s="1489"/>
      <c r="BZ619" s="1489"/>
      <c r="CA619" s="1489"/>
      <c r="CB619" s="1489"/>
      <c r="CC619" s="1489">
        <f t="shared" si="8"/>
        <v>0</v>
      </c>
      <c r="CD619" s="1489"/>
      <c r="CE619" s="1489"/>
      <c r="CF619" s="1489"/>
      <c r="CG619" s="1489"/>
      <c r="CH619" s="1489">
        <f t="shared" si="9"/>
        <v>0</v>
      </c>
      <c r="CI619" s="1489"/>
      <c r="CJ619" s="1489"/>
      <c r="CK619" s="1489"/>
      <c r="CL619" s="1489"/>
      <c r="CM619" s="1489">
        <f t="shared" si="10"/>
        <v>0</v>
      </c>
      <c r="CN619" s="1489"/>
      <c r="CO619" s="1489"/>
      <c r="CP619" s="1489"/>
      <c r="CQ619" s="1489"/>
      <c r="CR619" s="6"/>
      <c r="CS619" s="1499">
        <f t="shared" si="11"/>
        <v>0</v>
      </c>
      <c r="CT619" s="1499"/>
      <c r="CU619" s="1499"/>
      <c r="CV619" s="1499"/>
      <c r="CW619" s="1499"/>
      <c r="CX619" s="1499">
        <f t="shared" si="12"/>
        <v>0</v>
      </c>
      <c r="CY619" s="1499"/>
      <c r="CZ619" s="1499"/>
      <c r="DA619" s="1499"/>
      <c r="DB619" s="1499"/>
      <c r="DC619" s="1499">
        <f t="shared" si="13"/>
        <v>0</v>
      </c>
      <c r="DD619" s="1499"/>
      <c r="DE619" s="1499"/>
      <c r="DF619" s="1499"/>
      <c r="DG619" s="1499"/>
      <c r="DH619" s="1499">
        <f t="shared" si="14"/>
        <v>0</v>
      </c>
      <c r="DI619" s="1499"/>
      <c r="DJ619" s="1499"/>
      <c r="DK619" s="1499"/>
      <c r="DL619" s="1499"/>
      <c r="DM619" s="1499">
        <f t="shared" si="15"/>
        <v>0</v>
      </c>
      <c r="DN619" s="1499"/>
      <c r="DO619" s="1499"/>
      <c r="DP619" s="1499"/>
      <c r="DQ619" s="1499"/>
      <c r="DR619" s="1499">
        <f t="shared" si="16"/>
        <v>0</v>
      </c>
      <c r="DS619" s="1499"/>
      <c r="DT619" s="1499"/>
      <c r="DU619" s="1499"/>
      <c r="DV619" s="1499"/>
      <c r="DX619" s="1486" t="str">
        <f t="shared" si="17"/>
        <v/>
      </c>
      <c r="DY619" s="1487"/>
      <c r="DZ619" s="1487"/>
      <c r="EA619" s="1487"/>
      <c r="EB619" s="1488"/>
      <c r="EC619" s="1486" t="str">
        <f t="shared" si="18"/>
        <v/>
      </c>
      <c r="ED619" s="1487"/>
      <c r="EE619" s="1487"/>
      <c r="EF619" s="1487"/>
      <c r="EG619" s="1488"/>
      <c r="EH619" s="1486" t="str">
        <f t="shared" si="19"/>
        <v/>
      </c>
      <c r="EI619" s="1487"/>
      <c r="EJ619" s="1487"/>
      <c r="EK619" s="1487"/>
      <c r="EL619" s="1488"/>
      <c r="EM619" s="1486" t="str">
        <f t="shared" si="20"/>
        <v/>
      </c>
      <c r="EN619" s="1487"/>
      <c r="EO619" s="1487"/>
      <c r="EP619" s="1487"/>
      <c r="EQ619" s="1488"/>
      <c r="ER619" s="1486" t="str">
        <f t="shared" si="21"/>
        <v/>
      </c>
      <c r="ES619" s="1487"/>
      <c r="ET619" s="1487"/>
      <c r="EU619" s="1487"/>
      <c r="EV619" s="1488"/>
      <c r="EW619" s="1486" t="str">
        <f t="shared" si="22"/>
        <v/>
      </c>
      <c r="EX619" s="1487"/>
      <c r="EY619" s="1487"/>
      <c r="EZ619" s="1487"/>
      <c r="FA619" s="1488"/>
    </row>
    <row r="620" spans="1:157" ht="13" customHeight="1">
      <c r="A620" s="2" t="s">
        <v>320</v>
      </c>
      <c r="B620" s="2"/>
      <c r="C620" s="2" t="s">
        <v>21</v>
      </c>
      <c r="AZ620" s="3"/>
      <c r="BA620" s="3"/>
      <c r="BB620" s="3"/>
      <c r="BC620" s="3"/>
      <c r="BD620" s="3"/>
      <c r="BE620" s="1486">
        <f t="shared" si="1"/>
        <v>0</v>
      </c>
      <c r="BF620" s="1488"/>
      <c r="BG620" s="1500">
        <f t="shared" si="2"/>
        <v>0</v>
      </c>
      <c r="BH620" s="1502"/>
      <c r="BI620" s="1486">
        <f t="shared" si="3"/>
        <v>0</v>
      </c>
      <c r="BJ620" s="1488"/>
      <c r="BK620" s="1500">
        <f t="shared" si="4"/>
        <v>0</v>
      </c>
      <c r="BL620" s="1502"/>
      <c r="BM620" s="3"/>
      <c r="BN620" s="1490">
        <f t="shared" si="5"/>
        <v>0</v>
      </c>
      <c r="BO620" s="1491"/>
      <c r="BP620" s="1491"/>
      <c r="BQ620" s="1491"/>
      <c r="BR620" s="1492"/>
      <c r="BS620" s="1489">
        <f t="shared" si="6"/>
        <v>0</v>
      </c>
      <c r="BT620" s="1489"/>
      <c r="BU620" s="1489"/>
      <c r="BV620" s="1489"/>
      <c r="BW620" s="1489"/>
      <c r="BX620" s="1489">
        <f t="shared" si="7"/>
        <v>0</v>
      </c>
      <c r="BY620" s="1489"/>
      <c r="BZ620" s="1489"/>
      <c r="CA620" s="1489"/>
      <c r="CB620" s="1489"/>
      <c r="CC620" s="1489">
        <f t="shared" si="8"/>
        <v>0</v>
      </c>
      <c r="CD620" s="1489"/>
      <c r="CE620" s="1489"/>
      <c r="CF620" s="1489"/>
      <c r="CG620" s="1489"/>
      <c r="CH620" s="1489">
        <f t="shared" si="9"/>
        <v>0</v>
      </c>
      <c r="CI620" s="1489"/>
      <c r="CJ620" s="1489"/>
      <c r="CK620" s="1489"/>
      <c r="CL620" s="1489"/>
      <c r="CM620" s="1489">
        <f t="shared" si="10"/>
        <v>0</v>
      </c>
      <c r="CN620" s="1489"/>
      <c r="CO620" s="1489"/>
      <c r="CP620" s="1489"/>
      <c r="CQ620" s="1489"/>
      <c r="CR620" s="6"/>
      <c r="CS620" s="1499">
        <f t="shared" si="11"/>
        <v>0</v>
      </c>
      <c r="CT620" s="1499"/>
      <c r="CU620" s="1499"/>
      <c r="CV620" s="1499"/>
      <c r="CW620" s="1499"/>
      <c r="CX620" s="1499">
        <f t="shared" si="12"/>
        <v>0</v>
      </c>
      <c r="CY620" s="1499"/>
      <c r="CZ620" s="1499"/>
      <c r="DA620" s="1499"/>
      <c r="DB620" s="1499"/>
      <c r="DC620" s="1499">
        <f t="shared" si="13"/>
        <v>0</v>
      </c>
      <c r="DD620" s="1499"/>
      <c r="DE620" s="1499"/>
      <c r="DF620" s="1499"/>
      <c r="DG620" s="1499"/>
      <c r="DH620" s="1499">
        <f t="shared" si="14"/>
        <v>0</v>
      </c>
      <c r="DI620" s="1499"/>
      <c r="DJ620" s="1499"/>
      <c r="DK620" s="1499"/>
      <c r="DL620" s="1499"/>
      <c r="DM620" s="1499">
        <f t="shared" si="15"/>
        <v>0</v>
      </c>
      <c r="DN620" s="1499"/>
      <c r="DO620" s="1499"/>
      <c r="DP620" s="1499"/>
      <c r="DQ620" s="1499"/>
      <c r="DR620" s="1499">
        <f t="shared" si="16"/>
        <v>0</v>
      </c>
      <c r="DS620" s="1499"/>
      <c r="DT620" s="1499"/>
      <c r="DU620" s="1499"/>
      <c r="DV620" s="1499"/>
      <c r="DX620" s="1486" t="str">
        <f t="shared" si="17"/>
        <v/>
      </c>
      <c r="DY620" s="1487"/>
      <c r="DZ620" s="1487"/>
      <c r="EA620" s="1487"/>
      <c r="EB620" s="1488"/>
      <c r="EC620" s="1486" t="str">
        <f t="shared" si="18"/>
        <v/>
      </c>
      <c r="ED620" s="1487"/>
      <c r="EE620" s="1487"/>
      <c r="EF620" s="1487"/>
      <c r="EG620" s="1488"/>
      <c r="EH620" s="1486" t="str">
        <f t="shared" si="19"/>
        <v/>
      </c>
      <c r="EI620" s="1487"/>
      <c r="EJ620" s="1487"/>
      <c r="EK620" s="1487"/>
      <c r="EL620" s="1488"/>
      <c r="EM620" s="1486" t="str">
        <f t="shared" si="20"/>
        <v/>
      </c>
      <c r="EN620" s="1487"/>
      <c r="EO620" s="1487"/>
      <c r="EP620" s="1487"/>
      <c r="EQ620" s="1488"/>
      <c r="ER620" s="1486" t="str">
        <f t="shared" si="21"/>
        <v/>
      </c>
      <c r="ES620" s="1487"/>
      <c r="ET620" s="1487"/>
      <c r="EU620" s="1487"/>
      <c r="EV620" s="1488"/>
      <c r="EW620" s="1486" t="str">
        <f t="shared" si="22"/>
        <v/>
      </c>
      <c r="EX620" s="1487"/>
      <c r="EY620" s="1487"/>
      <c r="EZ620" s="1487"/>
      <c r="FA620" s="1488"/>
    </row>
    <row r="621" spans="1:157" ht="13" customHeight="1">
      <c r="A621" s="2"/>
      <c r="B621" s="2"/>
      <c r="C621" s="2"/>
      <c r="AZ621" s="3"/>
      <c r="BA621" s="3"/>
      <c r="BB621" s="3"/>
      <c r="BC621" s="3"/>
      <c r="BD621" s="3"/>
      <c r="BE621" s="1486">
        <f t="shared" si="1"/>
        <v>0</v>
      </c>
      <c r="BF621" s="1488"/>
      <c r="BG621" s="1500">
        <f t="shared" si="2"/>
        <v>0</v>
      </c>
      <c r="BH621" s="1502"/>
      <c r="BI621" s="1486">
        <f t="shared" si="3"/>
        <v>0</v>
      </c>
      <c r="BJ621" s="1488"/>
      <c r="BK621" s="1500">
        <f t="shared" si="4"/>
        <v>0</v>
      </c>
      <c r="BL621" s="1502"/>
      <c r="BM621" s="3"/>
      <c r="BN621" s="1490">
        <f t="shared" si="5"/>
        <v>0</v>
      </c>
      <c r="BO621" s="1491"/>
      <c r="BP621" s="1491"/>
      <c r="BQ621" s="1491"/>
      <c r="BR621" s="1492"/>
      <c r="BS621" s="1489">
        <f t="shared" si="6"/>
        <v>0</v>
      </c>
      <c r="BT621" s="1489"/>
      <c r="BU621" s="1489"/>
      <c r="BV621" s="1489"/>
      <c r="BW621" s="1489"/>
      <c r="BX621" s="1489">
        <f t="shared" si="7"/>
        <v>0</v>
      </c>
      <c r="BY621" s="1489"/>
      <c r="BZ621" s="1489"/>
      <c r="CA621" s="1489"/>
      <c r="CB621" s="1489"/>
      <c r="CC621" s="1489">
        <f t="shared" si="8"/>
        <v>0</v>
      </c>
      <c r="CD621" s="1489"/>
      <c r="CE621" s="1489"/>
      <c r="CF621" s="1489"/>
      <c r="CG621" s="1489"/>
      <c r="CH621" s="1489">
        <f t="shared" si="9"/>
        <v>0</v>
      </c>
      <c r="CI621" s="1489"/>
      <c r="CJ621" s="1489"/>
      <c r="CK621" s="1489"/>
      <c r="CL621" s="1489"/>
      <c r="CM621" s="1489">
        <f t="shared" si="10"/>
        <v>0</v>
      </c>
      <c r="CN621" s="1489"/>
      <c r="CO621" s="1489"/>
      <c r="CP621" s="1489"/>
      <c r="CQ621" s="1489"/>
      <c r="CR621" s="6"/>
      <c r="CS621" s="1499">
        <f t="shared" si="11"/>
        <v>0</v>
      </c>
      <c r="CT621" s="1499"/>
      <c r="CU621" s="1499"/>
      <c r="CV621" s="1499"/>
      <c r="CW621" s="1499"/>
      <c r="CX621" s="1499">
        <f t="shared" si="12"/>
        <v>0</v>
      </c>
      <c r="CY621" s="1499"/>
      <c r="CZ621" s="1499"/>
      <c r="DA621" s="1499"/>
      <c r="DB621" s="1499"/>
      <c r="DC621" s="1499">
        <f t="shared" si="13"/>
        <v>0</v>
      </c>
      <c r="DD621" s="1499"/>
      <c r="DE621" s="1499"/>
      <c r="DF621" s="1499"/>
      <c r="DG621" s="1499"/>
      <c r="DH621" s="1499">
        <f t="shared" si="14"/>
        <v>0</v>
      </c>
      <c r="DI621" s="1499"/>
      <c r="DJ621" s="1499"/>
      <c r="DK621" s="1499"/>
      <c r="DL621" s="1499"/>
      <c r="DM621" s="1499">
        <f t="shared" si="15"/>
        <v>0</v>
      </c>
      <c r="DN621" s="1499"/>
      <c r="DO621" s="1499"/>
      <c r="DP621" s="1499"/>
      <c r="DQ621" s="1499"/>
      <c r="DR621" s="1499">
        <f t="shared" si="16"/>
        <v>0</v>
      </c>
      <c r="DS621" s="1499"/>
      <c r="DT621" s="1499"/>
      <c r="DU621" s="1499"/>
      <c r="DV621" s="1499"/>
      <c r="DX621" s="1486" t="str">
        <f t="shared" si="17"/>
        <v/>
      </c>
      <c r="DY621" s="1487"/>
      <c r="DZ621" s="1487"/>
      <c r="EA621" s="1487"/>
      <c r="EB621" s="1488"/>
      <c r="EC621" s="1486" t="str">
        <f t="shared" si="18"/>
        <v/>
      </c>
      <c r="ED621" s="1487"/>
      <c r="EE621" s="1487"/>
      <c r="EF621" s="1487"/>
      <c r="EG621" s="1488"/>
      <c r="EH621" s="1486" t="str">
        <f t="shared" si="19"/>
        <v/>
      </c>
      <c r="EI621" s="1487"/>
      <c r="EJ621" s="1487"/>
      <c r="EK621" s="1487"/>
      <c r="EL621" s="1488"/>
      <c r="EM621" s="1486" t="str">
        <f t="shared" si="20"/>
        <v/>
      </c>
      <c r="EN621" s="1487"/>
      <c r="EO621" s="1487"/>
      <c r="EP621" s="1487"/>
      <c r="EQ621" s="1488"/>
      <c r="ER621" s="1486" t="str">
        <f t="shared" si="21"/>
        <v/>
      </c>
      <c r="ES621" s="1487"/>
      <c r="ET621" s="1487"/>
      <c r="EU621" s="1487"/>
      <c r="EV621" s="1488"/>
      <c r="EW621" s="1486" t="str">
        <f t="shared" si="22"/>
        <v/>
      </c>
      <c r="EX621" s="1487"/>
      <c r="EY621" s="1487"/>
      <c r="EZ621" s="1487"/>
      <c r="FA621" s="1488"/>
    </row>
    <row r="622" spans="1:157" ht="13" customHeight="1">
      <c r="C622" s="2" t="s">
        <v>2420</v>
      </c>
      <c r="AZ622" s="3"/>
      <c r="BA622" s="3"/>
      <c r="BB622" s="3"/>
      <c r="BC622" s="3"/>
      <c r="BD622" s="3"/>
      <c r="BE622" s="1486">
        <f t="shared" si="1"/>
        <v>0</v>
      </c>
      <c r="BF622" s="1488"/>
      <c r="BG622" s="1500">
        <f t="shared" si="2"/>
        <v>0</v>
      </c>
      <c r="BH622" s="1502"/>
      <c r="BI622" s="1486">
        <f t="shared" si="3"/>
        <v>0</v>
      </c>
      <c r="BJ622" s="1488"/>
      <c r="BK622" s="1500">
        <f t="shared" si="4"/>
        <v>0</v>
      </c>
      <c r="BL622" s="1502"/>
      <c r="BM622" s="3"/>
      <c r="BN622" s="1490">
        <f t="shared" si="5"/>
        <v>0</v>
      </c>
      <c r="BO622" s="1491"/>
      <c r="BP622" s="1491"/>
      <c r="BQ622" s="1491"/>
      <c r="BR622" s="1492"/>
      <c r="BS622" s="1489">
        <f t="shared" si="6"/>
        <v>0</v>
      </c>
      <c r="BT622" s="1489"/>
      <c r="BU622" s="1489"/>
      <c r="BV622" s="1489"/>
      <c r="BW622" s="1489"/>
      <c r="BX622" s="1489">
        <f t="shared" si="7"/>
        <v>0</v>
      </c>
      <c r="BY622" s="1489"/>
      <c r="BZ622" s="1489"/>
      <c r="CA622" s="1489"/>
      <c r="CB622" s="1489"/>
      <c r="CC622" s="1489">
        <f t="shared" si="8"/>
        <v>0</v>
      </c>
      <c r="CD622" s="1489"/>
      <c r="CE622" s="1489"/>
      <c r="CF622" s="1489"/>
      <c r="CG622" s="1489"/>
      <c r="CH622" s="1489">
        <f t="shared" si="9"/>
        <v>0</v>
      </c>
      <c r="CI622" s="1489"/>
      <c r="CJ622" s="1489"/>
      <c r="CK622" s="1489"/>
      <c r="CL622" s="1489"/>
      <c r="CM622" s="1489">
        <f t="shared" si="10"/>
        <v>0</v>
      </c>
      <c r="CN622" s="1489"/>
      <c r="CO622" s="1489"/>
      <c r="CP622" s="1489"/>
      <c r="CQ622" s="1489"/>
      <c r="CR622" s="6"/>
      <c r="CS622" s="1499">
        <f t="shared" si="11"/>
        <v>0</v>
      </c>
      <c r="CT622" s="1499"/>
      <c r="CU622" s="1499"/>
      <c r="CV622" s="1499"/>
      <c r="CW622" s="1499"/>
      <c r="CX622" s="1499">
        <f t="shared" si="12"/>
        <v>0</v>
      </c>
      <c r="CY622" s="1499"/>
      <c r="CZ622" s="1499"/>
      <c r="DA622" s="1499"/>
      <c r="DB622" s="1499"/>
      <c r="DC622" s="1499">
        <f t="shared" si="13"/>
        <v>0</v>
      </c>
      <c r="DD622" s="1499"/>
      <c r="DE622" s="1499"/>
      <c r="DF622" s="1499"/>
      <c r="DG622" s="1499"/>
      <c r="DH622" s="1499">
        <f t="shared" si="14"/>
        <v>0</v>
      </c>
      <c r="DI622" s="1499"/>
      <c r="DJ622" s="1499"/>
      <c r="DK622" s="1499"/>
      <c r="DL622" s="1499"/>
      <c r="DM622" s="1499">
        <f t="shared" si="15"/>
        <v>0</v>
      </c>
      <c r="DN622" s="1499"/>
      <c r="DO622" s="1499"/>
      <c r="DP622" s="1499"/>
      <c r="DQ622" s="1499"/>
      <c r="DR622" s="1499">
        <f t="shared" si="16"/>
        <v>0</v>
      </c>
      <c r="DS622" s="1499"/>
      <c r="DT622" s="1499"/>
      <c r="DU622" s="1499"/>
      <c r="DV622" s="1499"/>
      <c r="DX622" s="1486" t="str">
        <f t="shared" si="17"/>
        <v/>
      </c>
      <c r="DY622" s="1487"/>
      <c r="DZ622" s="1487"/>
      <c r="EA622" s="1487"/>
      <c r="EB622" s="1488"/>
      <c r="EC622" s="1486" t="str">
        <f t="shared" si="18"/>
        <v/>
      </c>
      <c r="ED622" s="1487"/>
      <c r="EE622" s="1487"/>
      <c r="EF622" s="1487"/>
      <c r="EG622" s="1488"/>
      <c r="EH622" s="1486" t="str">
        <f t="shared" si="19"/>
        <v/>
      </c>
      <c r="EI622" s="1487"/>
      <c r="EJ622" s="1487"/>
      <c r="EK622" s="1487"/>
      <c r="EL622" s="1488"/>
      <c r="EM622" s="1486" t="str">
        <f t="shared" si="20"/>
        <v/>
      </c>
      <c r="EN622" s="1487"/>
      <c r="EO622" s="1487"/>
      <c r="EP622" s="1487"/>
      <c r="EQ622" s="1488"/>
      <c r="ER622" s="1486" t="str">
        <f t="shared" si="21"/>
        <v/>
      </c>
      <c r="ES622" s="1487"/>
      <c r="ET622" s="1487"/>
      <c r="EU622" s="1487"/>
      <c r="EV622" s="1488"/>
      <c r="EW622" s="1486" t="str">
        <f t="shared" si="22"/>
        <v/>
      </c>
      <c r="EX622" s="1487"/>
      <c r="EY622" s="1487"/>
      <c r="EZ622" s="1487"/>
      <c r="FA622" s="1488"/>
    </row>
    <row r="623" spans="1:157" ht="13" customHeight="1">
      <c r="B623" s="546"/>
      <c r="C623" s="2"/>
      <c r="AU623" s="3"/>
      <c r="AZ623" s="3"/>
      <c r="BA623" s="3"/>
      <c r="BB623" s="3"/>
      <c r="BC623" s="3"/>
      <c r="BD623" s="3"/>
      <c r="BE623" s="1486">
        <f t="shared" si="1"/>
        <v>0</v>
      </c>
      <c r="BF623" s="1488"/>
      <c r="BG623" s="1500">
        <f t="shared" si="2"/>
        <v>0</v>
      </c>
      <c r="BH623" s="1502"/>
      <c r="BI623" s="1486">
        <f t="shared" si="3"/>
        <v>0</v>
      </c>
      <c r="BJ623" s="1488"/>
      <c r="BK623" s="1500">
        <f t="shared" si="4"/>
        <v>0</v>
      </c>
      <c r="BL623" s="1502"/>
      <c r="BM623" s="3"/>
      <c r="BN623" s="1490">
        <f t="shared" si="5"/>
        <v>0</v>
      </c>
      <c r="BO623" s="1491"/>
      <c r="BP623" s="1491"/>
      <c r="BQ623" s="1491"/>
      <c r="BR623" s="1492"/>
      <c r="BS623" s="1489">
        <f t="shared" si="6"/>
        <v>0</v>
      </c>
      <c r="BT623" s="1489"/>
      <c r="BU623" s="1489"/>
      <c r="BV623" s="1489"/>
      <c r="BW623" s="1489"/>
      <c r="BX623" s="1489">
        <f t="shared" si="7"/>
        <v>0</v>
      </c>
      <c r="BY623" s="1489"/>
      <c r="BZ623" s="1489"/>
      <c r="CA623" s="1489"/>
      <c r="CB623" s="1489"/>
      <c r="CC623" s="1489">
        <f t="shared" si="8"/>
        <v>0</v>
      </c>
      <c r="CD623" s="1489"/>
      <c r="CE623" s="1489"/>
      <c r="CF623" s="1489"/>
      <c r="CG623" s="1489"/>
      <c r="CH623" s="1489">
        <f t="shared" si="9"/>
        <v>0</v>
      </c>
      <c r="CI623" s="1489"/>
      <c r="CJ623" s="1489"/>
      <c r="CK623" s="1489"/>
      <c r="CL623" s="1489"/>
      <c r="CM623" s="1489">
        <f t="shared" si="10"/>
        <v>0</v>
      </c>
      <c r="CN623" s="1489"/>
      <c r="CO623" s="1489"/>
      <c r="CP623" s="1489"/>
      <c r="CQ623" s="1489"/>
      <c r="CR623" s="6"/>
      <c r="CS623" s="1499">
        <f t="shared" si="11"/>
        <v>0</v>
      </c>
      <c r="CT623" s="1499"/>
      <c r="CU623" s="1499"/>
      <c r="CV623" s="1499"/>
      <c r="CW623" s="1499"/>
      <c r="CX623" s="1499">
        <f t="shared" si="12"/>
        <v>0</v>
      </c>
      <c r="CY623" s="1499"/>
      <c r="CZ623" s="1499"/>
      <c r="DA623" s="1499"/>
      <c r="DB623" s="1499"/>
      <c r="DC623" s="1499">
        <f t="shared" si="13"/>
        <v>0</v>
      </c>
      <c r="DD623" s="1499"/>
      <c r="DE623" s="1499"/>
      <c r="DF623" s="1499"/>
      <c r="DG623" s="1499"/>
      <c r="DH623" s="1499">
        <f t="shared" si="14"/>
        <v>0</v>
      </c>
      <c r="DI623" s="1499"/>
      <c r="DJ623" s="1499"/>
      <c r="DK623" s="1499"/>
      <c r="DL623" s="1499"/>
      <c r="DM623" s="1499">
        <f t="shared" si="15"/>
        <v>0</v>
      </c>
      <c r="DN623" s="1499"/>
      <c r="DO623" s="1499"/>
      <c r="DP623" s="1499"/>
      <c r="DQ623" s="1499"/>
      <c r="DR623" s="1499">
        <f t="shared" si="16"/>
        <v>0</v>
      </c>
      <c r="DS623" s="1499"/>
      <c r="DT623" s="1499"/>
      <c r="DU623" s="1499"/>
      <c r="DV623" s="1499"/>
      <c r="DX623" s="1486" t="str">
        <f t="shared" si="17"/>
        <v/>
      </c>
      <c r="DY623" s="1487"/>
      <c r="DZ623" s="1487"/>
      <c r="EA623" s="1487"/>
      <c r="EB623" s="1488"/>
      <c r="EC623" s="1486" t="str">
        <f t="shared" si="18"/>
        <v/>
      </c>
      <c r="ED623" s="1487"/>
      <c r="EE623" s="1487"/>
      <c r="EF623" s="1487"/>
      <c r="EG623" s="1488"/>
      <c r="EH623" s="1486" t="str">
        <f t="shared" si="19"/>
        <v/>
      </c>
      <c r="EI623" s="1487"/>
      <c r="EJ623" s="1487"/>
      <c r="EK623" s="1487"/>
      <c r="EL623" s="1488"/>
      <c r="EM623" s="1486" t="str">
        <f t="shared" si="20"/>
        <v/>
      </c>
      <c r="EN623" s="1487"/>
      <c r="EO623" s="1487"/>
      <c r="EP623" s="1487"/>
      <c r="EQ623" s="1488"/>
      <c r="ER623" s="1486" t="str">
        <f t="shared" si="21"/>
        <v/>
      </c>
      <c r="ES623" s="1487"/>
      <c r="ET623" s="1487"/>
      <c r="EU623" s="1487"/>
      <c r="EV623" s="1488"/>
      <c r="EW623" s="1486" t="str">
        <f t="shared" si="22"/>
        <v/>
      </c>
      <c r="EX623" s="1487"/>
      <c r="EY623" s="1487"/>
      <c r="EZ623" s="1487"/>
      <c r="FA623" s="1488"/>
    </row>
    <row r="624" spans="1:157" ht="13" customHeight="1">
      <c r="B624" s="1710" t="s">
        <v>2422</v>
      </c>
      <c r="C624" s="1710"/>
      <c r="D624" s="1710"/>
      <c r="E624" s="1710"/>
      <c r="F624" s="1710"/>
      <c r="G624" s="1710"/>
      <c r="H624" s="1710"/>
      <c r="I624" s="1710"/>
      <c r="J624" s="1710"/>
      <c r="K624" s="1710"/>
      <c r="L624" s="1710"/>
      <c r="M624" s="1440" t="s">
        <v>2423</v>
      </c>
      <c r="N624" s="1440"/>
      <c r="O624" s="1440"/>
      <c r="P624" s="1440"/>
      <c r="Q624" s="1440" t="s">
        <v>2044</v>
      </c>
      <c r="R624" s="1440"/>
      <c r="S624" s="1440"/>
      <c r="T624" s="1440" t="s">
        <v>2042</v>
      </c>
      <c r="U624" s="1440"/>
      <c r="V624" s="1440"/>
      <c r="W624" s="1442" t="s">
        <v>462</v>
      </c>
      <c r="X624" s="1442"/>
      <c r="Y624" s="1442"/>
      <c r="Z624" s="1468" t="s">
        <v>2452</v>
      </c>
      <c r="AA624" s="1468"/>
      <c r="AB624" s="1469"/>
      <c r="AC624" s="1713" t="s">
        <v>1865</v>
      </c>
      <c r="AD624" s="1714"/>
      <c r="AE624" s="1715"/>
      <c r="AF624" s="1467" t="s">
        <v>2231</v>
      </c>
      <c r="AG624" s="1468"/>
      <c r="AH624" s="1468"/>
      <c r="AI624" s="1468"/>
      <c r="AJ624" s="1469"/>
      <c r="AK624" s="1641" t="s">
        <v>2232</v>
      </c>
      <c r="AL624" s="1642"/>
      <c r="AM624" s="1642"/>
      <c r="AN624" s="1643"/>
      <c r="AO624" s="1440" t="s">
        <v>463</v>
      </c>
      <c r="AP624" s="1440"/>
      <c r="AQ624" s="1440"/>
      <c r="AR624" s="1440"/>
      <c r="AS624" s="1440"/>
      <c r="AU624" s="3"/>
      <c r="AZ624" s="3"/>
      <c r="BA624" s="3"/>
      <c r="BB624" s="3"/>
      <c r="BC624" s="3"/>
      <c r="BD624" s="3"/>
      <c r="BE624" s="1486">
        <f t="shared" si="1"/>
        <v>0</v>
      </c>
      <c r="BF624" s="1488"/>
      <c r="BG624" s="1500">
        <f t="shared" si="2"/>
        <v>0</v>
      </c>
      <c r="BH624" s="1502"/>
      <c r="BI624" s="1486">
        <f t="shared" si="3"/>
        <v>0</v>
      </c>
      <c r="BJ624" s="1488"/>
      <c r="BK624" s="1500">
        <f t="shared" si="4"/>
        <v>0</v>
      </c>
      <c r="BL624" s="1502"/>
      <c r="BM624" s="3"/>
      <c r="BN624" s="1490">
        <f t="shared" si="5"/>
        <v>0</v>
      </c>
      <c r="BO624" s="1491"/>
      <c r="BP624" s="1491"/>
      <c r="BQ624" s="1491"/>
      <c r="BR624" s="1492"/>
      <c r="BS624" s="1489">
        <f t="shared" si="6"/>
        <v>0</v>
      </c>
      <c r="BT624" s="1489"/>
      <c r="BU624" s="1489"/>
      <c r="BV624" s="1489"/>
      <c r="BW624" s="1489"/>
      <c r="BX624" s="1489">
        <f t="shared" si="7"/>
        <v>0</v>
      </c>
      <c r="BY624" s="1489"/>
      <c r="BZ624" s="1489"/>
      <c r="CA624" s="1489"/>
      <c r="CB624" s="1489"/>
      <c r="CC624" s="1489">
        <f t="shared" si="8"/>
        <v>0</v>
      </c>
      <c r="CD624" s="1489"/>
      <c r="CE624" s="1489"/>
      <c r="CF624" s="1489"/>
      <c r="CG624" s="1489"/>
      <c r="CH624" s="1489">
        <f t="shared" si="9"/>
        <v>0</v>
      </c>
      <c r="CI624" s="1489"/>
      <c r="CJ624" s="1489"/>
      <c r="CK624" s="1489"/>
      <c r="CL624" s="1489"/>
      <c r="CM624" s="1489">
        <f t="shared" si="10"/>
        <v>0</v>
      </c>
      <c r="CN624" s="1489"/>
      <c r="CO624" s="1489"/>
      <c r="CP624" s="1489"/>
      <c r="CQ624" s="1489"/>
      <c r="CR624" s="6"/>
      <c r="CS624" s="1499">
        <f t="shared" si="11"/>
        <v>0</v>
      </c>
      <c r="CT624" s="1499"/>
      <c r="CU624" s="1499"/>
      <c r="CV624" s="1499"/>
      <c r="CW624" s="1499"/>
      <c r="CX624" s="1499">
        <f t="shared" si="12"/>
        <v>0</v>
      </c>
      <c r="CY624" s="1499"/>
      <c r="CZ624" s="1499"/>
      <c r="DA624" s="1499"/>
      <c r="DB624" s="1499"/>
      <c r="DC624" s="1499">
        <f t="shared" si="13"/>
        <v>0</v>
      </c>
      <c r="DD624" s="1499"/>
      <c r="DE624" s="1499"/>
      <c r="DF624" s="1499"/>
      <c r="DG624" s="1499"/>
      <c r="DH624" s="1499">
        <f t="shared" si="14"/>
        <v>0</v>
      </c>
      <c r="DI624" s="1499"/>
      <c r="DJ624" s="1499"/>
      <c r="DK624" s="1499"/>
      <c r="DL624" s="1499"/>
      <c r="DM624" s="1499">
        <f t="shared" si="15"/>
        <v>0</v>
      </c>
      <c r="DN624" s="1499"/>
      <c r="DO624" s="1499"/>
      <c r="DP624" s="1499"/>
      <c r="DQ624" s="1499"/>
      <c r="DR624" s="1499">
        <f t="shared" si="16"/>
        <v>0</v>
      </c>
      <c r="DS624" s="1499"/>
      <c r="DT624" s="1499"/>
      <c r="DU624" s="1499"/>
      <c r="DV624" s="1499"/>
      <c r="DX624" s="1486" t="str">
        <f t="shared" si="17"/>
        <v/>
      </c>
      <c r="DY624" s="1487"/>
      <c r="DZ624" s="1487"/>
      <c r="EA624" s="1487"/>
      <c r="EB624" s="1488"/>
      <c r="EC624" s="1486" t="str">
        <f t="shared" si="18"/>
        <v/>
      </c>
      <c r="ED624" s="1487"/>
      <c r="EE624" s="1487"/>
      <c r="EF624" s="1487"/>
      <c r="EG624" s="1488"/>
      <c r="EH624" s="1486" t="str">
        <f t="shared" si="19"/>
        <v/>
      </c>
      <c r="EI624" s="1487"/>
      <c r="EJ624" s="1487"/>
      <c r="EK624" s="1487"/>
      <c r="EL624" s="1488"/>
      <c r="EM624" s="1486" t="str">
        <f t="shared" si="20"/>
        <v/>
      </c>
      <c r="EN624" s="1487"/>
      <c r="EO624" s="1487"/>
      <c r="EP624" s="1487"/>
      <c r="EQ624" s="1488"/>
      <c r="ER624" s="1486" t="str">
        <f t="shared" si="21"/>
        <v/>
      </c>
      <c r="ES624" s="1487"/>
      <c r="ET624" s="1487"/>
      <c r="EU624" s="1487"/>
      <c r="EV624" s="1488"/>
      <c r="EW624" s="1486" t="str">
        <f t="shared" si="22"/>
        <v/>
      </c>
      <c r="EX624" s="1487"/>
      <c r="EY624" s="1487"/>
      <c r="EZ624" s="1487"/>
      <c r="FA624" s="1488"/>
    </row>
    <row r="625" spans="2:157" ht="13" customHeight="1">
      <c r="B625" s="1710"/>
      <c r="C625" s="1710"/>
      <c r="D625" s="1710"/>
      <c r="E625" s="1710"/>
      <c r="F625" s="1710"/>
      <c r="G625" s="1710"/>
      <c r="H625" s="1710"/>
      <c r="I625" s="1710"/>
      <c r="J625" s="1710"/>
      <c r="K625" s="1710"/>
      <c r="L625" s="1710"/>
      <c r="M625" s="1440"/>
      <c r="N625" s="1440"/>
      <c r="O625" s="1440"/>
      <c r="P625" s="1440"/>
      <c r="Q625" s="1440"/>
      <c r="R625" s="1440"/>
      <c r="S625" s="1440"/>
      <c r="T625" s="1440"/>
      <c r="U625" s="1440"/>
      <c r="V625" s="1440"/>
      <c r="W625" s="1442"/>
      <c r="X625" s="1442"/>
      <c r="Y625" s="1442"/>
      <c r="Z625" s="1471"/>
      <c r="AA625" s="1471"/>
      <c r="AB625" s="1472"/>
      <c r="AC625" s="1716"/>
      <c r="AD625" s="1717"/>
      <c r="AE625" s="1718"/>
      <c r="AF625" s="1470"/>
      <c r="AG625" s="1471"/>
      <c r="AH625" s="1471"/>
      <c r="AI625" s="1471"/>
      <c r="AJ625" s="1472"/>
      <c r="AK625" s="1644"/>
      <c r="AL625" s="1645"/>
      <c r="AM625" s="1645"/>
      <c r="AN625" s="1646"/>
      <c r="AO625" s="1440"/>
      <c r="AP625" s="1440"/>
      <c r="AQ625" s="1440"/>
      <c r="AR625" s="1440"/>
      <c r="AS625" s="1440"/>
      <c r="AU625" s="3"/>
      <c r="AZ625" s="3"/>
      <c r="BA625" s="3"/>
      <c r="BB625" s="3"/>
      <c r="BC625" s="3"/>
      <c r="BD625" s="3"/>
      <c r="BE625" s="1486">
        <f t="shared" si="1"/>
        <v>0</v>
      </c>
      <c r="BF625" s="1488"/>
      <c r="BG625" s="1500">
        <f t="shared" si="2"/>
        <v>0</v>
      </c>
      <c r="BH625" s="1502"/>
      <c r="BI625" s="1486">
        <f t="shared" si="3"/>
        <v>0</v>
      </c>
      <c r="BJ625" s="1488"/>
      <c r="BK625" s="1500">
        <f t="shared" si="4"/>
        <v>0</v>
      </c>
      <c r="BL625" s="1502"/>
      <c r="BM625" s="3"/>
      <c r="BN625" s="1490">
        <f t="shared" si="5"/>
        <v>0</v>
      </c>
      <c r="BO625" s="1491"/>
      <c r="BP625" s="1491"/>
      <c r="BQ625" s="1491"/>
      <c r="BR625" s="1492"/>
      <c r="BS625" s="1489">
        <f t="shared" si="6"/>
        <v>0</v>
      </c>
      <c r="BT625" s="1489"/>
      <c r="BU625" s="1489"/>
      <c r="BV625" s="1489"/>
      <c r="BW625" s="1489"/>
      <c r="BX625" s="1489">
        <f t="shared" si="7"/>
        <v>0</v>
      </c>
      <c r="BY625" s="1489"/>
      <c r="BZ625" s="1489"/>
      <c r="CA625" s="1489"/>
      <c r="CB625" s="1489"/>
      <c r="CC625" s="1489">
        <f t="shared" si="8"/>
        <v>0</v>
      </c>
      <c r="CD625" s="1489"/>
      <c r="CE625" s="1489"/>
      <c r="CF625" s="1489"/>
      <c r="CG625" s="1489"/>
      <c r="CH625" s="1489">
        <f t="shared" si="9"/>
        <v>0</v>
      </c>
      <c r="CI625" s="1489"/>
      <c r="CJ625" s="1489"/>
      <c r="CK625" s="1489"/>
      <c r="CL625" s="1489"/>
      <c r="CM625" s="1489">
        <f t="shared" si="10"/>
        <v>0</v>
      </c>
      <c r="CN625" s="1489"/>
      <c r="CO625" s="1489"/>
      <c r="CP625" s="1489"/>
      <c r="CQ625" s="1489"/>
      <c r="CR625" s="6"/>
      <c r="CS625" s="1499">
        <f t="shared" si="11"/>
        <v>0</v>
      </c>
      <c r="CT625" s="1499"/>
      <c r="CU625" s="1499"/>
      <c r="CV625" s="1499"/>
      <c r="CW625" s="1499"/>
      <c r="CX625" s="1499">
        <f t="shared" si="12"/>
        <v>0</v>
      </c>
      <c r="CY625" s="1499"/>
      <c r="CZ625" s="1499"/>
      <c r="DA625" s="1499"/>
      <c r="DB625" s="1499"/>
      <c r="DC625" s="1499">
        <f t="shared" si="13"/>
        <v>0</v>
      </c>
      <c r="DD625" s="1499"/>
      <c r="DE625" s="1499"/>
      <c r="DF625" s="1499"/>
      <c r="DG625" s="1499"/>
      <c r="DH625" s="1499">
        <f t="shared" si="14"/>
        <v>0</v>
      </c>
      <c r="DI625" s="1499"/>
      <c r="DJ625" s="1499"/>
      <c r="DK625" s="1499"/>
      <c r="DL625" s="1499"/>
      <c r="DM625" s="1499">
        <f t="shared" si="15"/>
        <v>0</v>
      </c>
      <c r="DN625" s="1499"/>
      <c r="DO625" s="1499"/>
      <c r="DP625" s="1499"/>
      <c r="DQ625" s="1499"/>
      <c r="DR625" s="1499">
        <f t="shared" si="16"/>
        <v>0</v>
      </c>
      <c r="DS625" s="1499"/>
      <c r="DT625" s="1499"/>
      <c r="DU625" s="1499"/>
      <c r="DV625" s="1499"/>
      <c r="DX625" s="1486" t="str">
        <f t="shared" si="17"/>
        <v/>
      </c>
      <c r="DY625" s="1487"/>
      <c r="DZ625" s="1487"/>
      <c r="EA625" s="1487"/>
      <c r="EB625" s="1488"/>
      <c r="EC625" s="1486" t="str">
        <f t="shared" si="18"/>
        <v/>
      </c>
      <c r="ED625" s="1487"/>
      <c r="EE625" s="1487"/>
      <c r="EF625" s="1487"/>
      <c r="EG625" s="1488"/>
      <c r="EH625" s="1486" t="str">
        <f t="shared" si="19"/>
        <v/>
      </c>
      <c r="EI625" s="1487"/>
      <c r="EJ625" s="1487"/>
      <c r="EK625" s="1487"/>
      <c r="EL625" s="1488"/>
      <c r="EM625" s="1486" t="str">
        <f t="shared" si="20"/>
        <v/>
      </c>
      <c r="EN625" s="1487"/>
      <c r="EO625" s="1487"/>
      <c r="EP625" s="1487"/>
      <c r="EQ625" s="1488"/>
      <c r="ER625" s="1486" t="str">
        <f t="shared" si="21"/>
        <v/>
      </c>
      <c r="ES625" s="1487"/>
      <c r="ET625" s="1487"/>
      <c r="EU625" s="1487"/>
      <c r="EV625" s="1488"/>
      <c r="EW625" s="1486" t="str">
        <f t="shared" si="22"/>
        <v/>
      </c>
      <c r="EX625" s="1487"/>
      <c r="EY625" s="1487"/>
      <c r="EZ625" s="1487"/>
      <c r="FA625" s="1488"/>
    </row>
    <row r="626" spans="2:157" ht="13" customHeight="1">
      <c r="B626" s="1710"/>
      <c r="C626" s="1710"/>
      <c r="D626" s="1710"/>
      <c r="E626" s="1710"/>
      <c r="F626" s="1710"/>
      <c r="G626" s="1710"/>
      <c r="H626" s="1710"/>
      <c r="I626" s="1710"/>
      <c r="J626" s="1710"/>
      <c r="K626" s="1710"/>
      <c r="L626" s="1710"/>
      <c r="M626" s="1440"/>
      <c r="N626" s="1440"/>
      <c r="O626" s="1440"/>
      <c r="P626" s="1440"/>
      <c r="Q626" s="1440"/>
      <c r="R626" s="1440"/>
      <c r="S626" s="1440"/>
      <c r="T626" s="1440"/>
      <c r="U626" s="1440"/>
      <c r="V626" s="1440"/>
      <c r="W626" s="1442"/>
      <c r="X626" s="1442"/>
      <c r="Y626" s="1442"/>
      <c r="Z626" s="1512"/>
      <c r="AA626" s="1512"/>
      <c r="AB626" s="1513"/>
      <c r="AC626" s="1719"/>
      <c r="AD626" s="1720"/>
      <c r="AE626" s="1721"/>
      <c r="AF626" s="1723"/>
      <c r="AG626" s="1512"/>
      <c r="AH626" s="1512"/>
      <c r="AI626" s="1512"/>
      <c r="AJ626" s="1513"/>
      <c r="AK626" s="1647"/>
      <c r="AL626" s="1648"/>
      <c r="AM626" s="1648"/>
      <c r="AN626" s="1649"/>
      <c r="AO626" s="1440"/>
      <c r="AP626" s="1440"/>
      <c r="AQ626" s="1440"/>
      <c r="AR626" s="1440"/>
      <c r="AS626" s="1440"/>
      <c r="AT626" s="3"/>
      <c r="AU626" s="3"/>
      <c r="AZ626" s="3"/>
      <c r="BA626" s="3"/>
      <c r="BB626" s="3"/>
      <c r="BC626" s="3"/>
      <c r="BD626" s="3"/>
      <c r="BE626" s="1486">
        <f t="shared" si="1"/>
        <v>0</v>
      </c>
      <c r="BF626" s="1488"/>
      <c r="BG626" s="1500">
        <f t="shared" si="2"/>
        <v>0</v>
      </c>
      <c r="BH626" s="1502"/>
      <c r="BI626" s="1486">
        <f t="shared" si="3"/>
        <v>0</v>
      </c>
      <c r="BJ626" s="1488"/>
      <c r="BK626" s="1500">
        <f t="shared" si="4"/>
        <v>0</v>
      </c>
      <c r="BL626" s="1502"/>
      <c r="BM626" s="3"/>
      <c r="BN626" s="1490">
        <f t="shared" si="5"/>
        <v>0</v>
      </c>
      <c r="BO626" s="1491"/>
      <c r="BP626" s="1491"/>
      <c r="BQ626" s="1491"/>
      <c r="BR626" s="1492"/>
      <c r="BS626" s="1489">
        <f t="shared" si="6"/>
        <v>0</v>
      </c>
      <c r="BT626" s="1489"/>
      <c r="BU626" s="1489"/>
      <c r="BV626" s="1489"/>
      <c r="BW626" s="1489"/>
      <c r="BX626" s="1489">
        <f t="shared" si="7"/>
        <v>0</v>
      </c>
      <c r="BY626" s="1489"/>
      <c r="BZ626" s="1489"/>
      <c r="CA626" s="1489"/>
      <c r="CB626" s="1489"/>
      <c r="CC626" s="1489">
        <f t="shared" si="8"/>
        <v>0</v>
      </c>
      <c r="CD626" s="1489"/>
      <c r="CE626" s="1489"/>
      <c r="CF626" s="1489"/>
      <c r="CG626" s="1489"/>
      <c r="CH626" s="1489">
        <f t="shared" si="9"/>
        <v>0</v>
      </c>
      <c r="CI626" s="1489"/>
      <c r="CJ626" s="1489"/>
      <c r="CK626" s="1489"/>
      <c r="CL626" s="1489"/>
      <c r="CM626" s="1489">
        <f t="shared" si="10"/>
        <v>0</v>
      </c>
      <c r="CN626" s="1489"/>
      <c r="CO626" s="1489"/>
      <c r="CP626" s="1489"/>
      <c r="CQ626" s="1489"/>
      <c r="CR626" s="6"/>
      <c r="CS626" s="1499">
        <f t="shared" si="11"/>
        <v>0</v>
      </c>
      <c r="CT626" s="1499"/>
      <c r="CU626" s="1499"/>
      <c r="CV626" s="1499"/>
      <c r="CW626" s="1499"/>
      <c r="CX626" s="1499">
        <f t="shared" si="12"/>
        <v>0</v>
      </c>
      <c r="CY626" s="1499"/>
      <c r="CZ626" s="1499"/>
      <c r="DA626" s="1499"/>
      <c r="DB626" s="1499"/>
      <c r="DC626" s="1499">
        <f t="shared" si="13"/>
        <v>0</v>
      </c>
      <c r="DD626" s="1499"/>
      <c r="DE626" s="1499"/>
      <c r="DF626" s="1499"/>
      <c r="DG626" s="1499"/>
      <c r="DH626" s="1499">
        <f t="shared" si="14"/>
        <v>0</v>
      </c>
      <c r="DI626" s="1499"/>
      <c r="DJ626" s="1499"/>
      <c r="DK626" s="1499"/>
      <c r="DL626" s="1499"/>
      <c r="DM626" s="1499">
        <f t="shared" si="15"/>
        <v>0</v>
      </c>
      <c r="DN626" s="1499"/>
      <c r="DO626" s="1499"/>
      <c r="DP626" s="1499"/>
      <c r="DQ626" s="1499"/>
      <c r="DR626" s="1499">
        <f t="shared" si="16"/>
        <v>0</v>
      </c>
      <c r="DS626" s="1499"/>
      <c r="DT626" s="1499"/>
      <c r="DU626" s="1499"/>
      <c r="DV626" s="1499"/>
      <c r="DX626" s="1486" t="str">
        <f t="shared" si="17"/>
        <v/>
      </c>
      <c r="DY626" s="1487"/>
      <c r="DZ626" s="1487"/>
      <c r="EA626" s="1487"/>
      <c r="EB626" s="1488"/>
      <c r="EC626" s="1486" t="str">
        <f t="shared" si="18"/>
        <v/>
      </c>
      <c r="ED626" s="1487"/>
      <c r="EE626" s="1487"/>
      <c r="EF626" s="1487"/>
      <c r="EG626" s="1488"/>
      <c r="EH626" s="1486" t="str">
        <f t="shared" si="19"/>
        <v/>
      </c>
      <c r="EI626" s="1487"/>
      <c r="EJ626" s="1487"/>
      <c r="EK626" s="1487"/>
      <c r="EL626" s="1488"/>
      <c r="EM626" s="1486" t="str">
        <f t="shared" si="20"/>
        <v/>
      </c>
      <c r="EN626" s="1487"/>
      <c r="EO626" s="1487"/>
      <c r="EP626" s="1487"/>
      <c r="EQ626" s="1488"/>
      <c r="ER626" s="1486" t="str">
        <f t="shared" si="21"/>
        <v/>
      </c>
      <c r="ES626" s="1487"/>
      <c r="ET626" s="1487"/>
      <c r="EU626" s="1487"/>
      <c r="EV626" s="1488"/>
      <c r="EW626" s="1486" t="str">
        <f t="shared" si="22"/>
        <v/>
      </c>
      <c r="EX626" s="1487"/>
      <c r="EY626" s="1487"/>
      <c r="EZ626" s="1487"/>
      <c r="FA626" s="1488"/>
    </row>
    <row r="627" spans="2:157" ht="13" customHeight="1">
      <c r="B627" s="51" t="s">
        <v>112</v>
      </c>
      <c r="C627" s="1712" t="s">
        <v>2734</v>
      </c>
      <c r="D627" s="1712"/>
      <c r="E627" s="1712"/>
      <c r="F627" s="1712"/>
      <c r="G627" s="1712"/>
      <c r="H627" s="1712"/>
      <c r="I627" s="1712"/>
      <c r="J627" s="1712"/>
      <c r="K627" s="1712"/>
      <c r="L627" s="1712"/>
      <c r="M627" s="1441" t="s">
        <v>1291</v>
      </c>
      <c r="N627" s="1441"/>
      <c r="O627" s="1441"/>
      <c r="P627" s="1441"/>
      <c r="Q627" s="1435">
        <f>17*12</f>
        <v>204</v>
      </c>
      <c r="R627" s="1435"/>
      <c r="S627" s="1436"/>
      <c r="T627" s="1434">
        <v>480</v>
      </c>
      <c r="U627" s="1435"/>
      <c r="V627" s="1436"/>
      <c r="W627" s="1430">
        <v>6.7000000000000004E-2</v>
      </c>
      <c r="X627" s="1431"/>
      <c r="Y627" s="1432"/>
      <c r="Z627" s="1509" t="s">
        <v>2451</v>
      </c>
      <c r="AA627" s="1510"/>
      <c r="AB627" s="1511"/>
      <c r="AC627" s="1423">
        <v>1</v>
      </c>
      <c r="AD627" s="1424"/>
      <c r="AE627" s="1425"/>
      <c r="AF627" s="1503">
        <v>833430</v>
      </c>
      <c r="AG627" s="1504"/>
      <c r="AH627" s="1504"/>
      <c r="AI627" s="1504"/>
      <c r="AJ627" s="1505"/>
      <c r="AK627" s="1437"/>
      <c r="AL627" s="1438"/>
      <c r="AM627" s="1438"/>
      <c r="AN627" s="1439"/>
      <c r="AO627" s="1514">
        <v>11580000</v>
      </c>
      <c r="AP627" s="1514"/>
      <c r="AQ627" s="1514"/>
      <c r="AR627" s="1514"/>
      <c r="AS627" s="1514"/>
      <c r="AT627" s="3"/>
      <c r="AU627" s="3"/>
      <c r="AZ627" s="3"/>
      <c r="BA627" s="3"/>
      <c r="BB627" s="3"/>
      <c r="BC627" s="3"/>
      <c r="BD627" s="3"/>
      <c r="BE627" s="1486">
        <f t="shared" si="1"/>
        <v>0</v>
      </c>
      <c r="BF627" s="1488"/>
      <c r="BG627" s="1500">
        <f t="shared" si="2"/>
        <v>0</v>
      </c>
      <c r="BH627" s="1502"/>
      <c r="BI627" s="1486">
        <f t="shared" si="3"/>
        <v>0</v>
      </c>
      <c r="BJ627" s="1488"/>
      <c r="BK627" s="1500">
        <f t="shared" si="4"/>
        <v>0</v>
      </c>
      <c r="BL627" s="1502"/>
      <c r="BM627" s="3"/>
      <c r="BN627" s="1490">
        <f t="shared" si="5"/>
        <v>0</v>
      </c>
      <c r="BO627" s="1491"/>
      <c r="BP627" s="1491"/>
      <c r="BQ627" s="1491"/>
      <c r="BR627" s="1492"/>
      <c r="BS627" s="1489">
        <f t="shared" si="6"/>
        <v>0</v>
      </c>
      <c r="BT627" s="1489"/>
      <c r="BU627" s="1489"/>
      <c r="BV627" s="1489"/>
      <c r="BW627" s="1489"/>
      <c r="BX627" s="1489">
        <f t="shared" si="7"/>
        <v>0</v>
      </c>
      <c r="BY627" s="1489"/>
      <c r="BZ627" s="1489"/>
      <c r="CA627" s="1489"/>
      <c r="CB627" s="1489"/>
      <c r="CC627" s="1489">
        <f t="shared" si="8"/>
        <v>0</v>
      </c>
      <c r="CD627" s="1489"/>
      <c r="CE627" s="1489"/>
      <c r="CF627" s="1489"/>
      <c r="CG627" s="1489"/>
      <c r="CH627" s="1489">
        <f t="shared" si="9"/>
        <v>0</v>
      </c>
      <c r="CI627" s="1489"/>
      <c r="CJ627" s="1489"/>
      <c r="CK627" s="1489"/>
      <c r="CL627" s="1489"/>
      <c r="CM627" s="1489">
        <f t="shared" si="10"/>
        <v>0</v>
      </c>
      <c r="CN627" s="1489"/>
      <c r="CO627" s="1489"/>
      <c r="CP627" s="1489"/>
      <c r="CQ627" s="1489"/>
      <c r="CR627" s="6"/>
      <c r="CS627" s="1499">
        <f t="shared" si="11"/>
        <v>0</v>
      </c>
      <c r="CT627" s="1499"/>
      <c r="CU627" s="1499"/>
      <c r="CV627" s="1499"/>
      <c r="CW627" s="1499"/>
      <c r="CX627" s="1499">
        <f t="shared" si="12"/>
        <v>0</v>
      </c>
      <c r="CY627" s="1499"/>
      <c r="CZ627" s="1499"/>
      <c r="DA627" s="1499"/>
      <c r="DB627" s="1499"/>
      <c r="DC627" s="1499">
        <f t="shared" si="13"/>
        <v>0</v>
      </c>
      <c r="DD627" s="1499"/>
      <c r="DE627" s="1499"/>
      <c r="DF627" s="1499"/>
      <c r="DG627" s="1499"/>
      <c r="DH627" s="1499">
        <f t="shared" si="14"/>
        <v>0</v>
      </c>
      <c r="DI627" s="1499"/>
      <c r="DJ627" s="1499"/>
      <c r="DK627" s="1499"/>
      <c r="DL627" s="1499"/>
      <c r="DM627" s="1499">
        <f t="shared" si="15"/>
        <v>0</v>
      </c>
      <c r="DN627" s="1499"/>
      <c r="DO627" s="1499"/>
      <c r="DP627" s="1499"/>
      <c r="DQ627" s="1499"/>
      <c r="DR627" s="1499">
        <f t="shared" si="16"/>
        <v>0</v>
      </c>
      <c r="DS627" s="1499"/>
      <c r="DT627" s="1499"/>
      <c r="DU627" s="1499"/>
      <c r="DV627" s="1499"/>
      <c r="DX627" s="1486" t="str">
        <f t="shared" si="17"/>
        <v/>
      </c>
      <c r="DY627" s="1487"/>
      <c r="DZ627" s="1487"/>
      <c r="EA627" s="1487"/>
      <c r="EB627" s="1488"/>
      <c r="EC627" s="1486" t="str">
        <f t="shared" si="18"/>
        <v/>
      </c>
      <c r="ED627" s="1487"/>
      <c r="EE627" s="1487"/>
      <c r="EF627" s="1487"/>
      <c r="EG627" s="1488"/>
      <c r="EH627" s="1486" t="str">
        <f t="shared" si="19"/>
        <v/>
      </c>
      <c r="EI627" s="1487"/>
      <c r="EJ627" s="1487"/>
      <c r="EK627" s="1487"/>
      <c r="EL627" s="1488"/>
      <c r="EM627" s="1486" t="str">
        <f t="shared" si="20"/>
        <v/>
      </c>
      <c r="EN627" s="1487"/>
      <c r="EO627" s="1487"/>
      <c r="EP627" s="1487"/>
      <c r="EQ627" s="1488"/>
      <c r="ER627" s="1486" t="str">
        <f t="shared" si="21"/>
        <v/>
      </c>
      <c r="ES627" s="1487"/>
      <c r="ET627" s="1487"/>
      <c r="EU627" s="1487"/>
      <c r="EV627" s="1488"/>
      <c r="EW627" s="1486" t="str">
        <f t="shared" si="22"/>
        <v/>
      </c>
      <c r="EX627" s="1487"/>
      <c r="EY627" s="1487"/>
      <c r="EZ627" s="1487"/>
      <c r="FA627" s="1488"/>
    </row>
    <row r="628" spans="2:157" ht="13" customHeight="1">
      <c r="B628" s="52" t="s">
        <v>113</v>
      </c>
      <c r="C628" s="1712" t="s">
        <v>2735</v>
      </c>
      <c r="D628" s="1712"/>
      <c r="E628" s="1712"/>
      <c r="F628" s="1712"/>
      <c r="G628" s="1712"/>
      <c r="H628" s="1712"/>
      <c r="I628" s="1712"/>
      <c r="J628" s="1712"/>
      <c r="K628" s="1712"/>
      <c r="L628" s="1712"/>
      <c r="M628" s="1441" t="s">
        <v>1291</v>
      </c>
      <c r="N628" s="1441"/>
      <c r="O628" s="1441"/>
      <c r="P628" s="1441"/>
      <c r="Q628" s="1434">
        <f>12*55</f>
        <v>660</v>
      </c>
      <c r="R628" s="1435"/>
      <c r="S628" s="1436"/>
      <c r="T628" s="1434">
        <f>12*55</f>
        <v>660</v>
      </c>
      <c r="U628" s="1435"/>
      <c r="V628" s="1436"/>
      <c r="W628" s="1430">
        <v>0.03</v>
      </c>
      <c r="X628" s="1431"/>
      <c r="Y628" s="1432"/>
      <c r="Z628" s="1509" t="s">
        <v>466</v>
      </c>
      <c r="AA628" s="1510"/>
      <c r="AB628" s="1511"/>
      <c r="AC628" s="1423">
        <v>2</v>
      </c>
      <c r="AD628" s="1424"/>
      <c r="AE628" s="1425"/>
      <c r="AF628" s="1503">
        <f>AO628*0.0042</f>
        <v>147000</v>
      </c>
      <c r="AG628" s="1504"/>
      <c r="AH628" s="1504"/>
      <c r="AI628" s="1504"/>
      <c r="AJ628" s="1505"/>
      <c r="AK628" s="1437"/>
      <c r="AL628" s="1438"/>
      <c r="AM628" s="1438"/>
      <c r="AN628" s="1439"/>
      <c r="AO628" s="1506">
        <v>35000000</v>
      </c>
      <c r="AP628" s="1507"/>
      <c r="AQ628" s="1507"/>
      <c r="AR628" s="1507"/>
      <c r="AS628" s="1508"/>
      <c r="AT628" s="1192" t="str">
        <f>IF(AND(NOT(C627=""),C628="",NOT(C629="")),"!","")</f>
        <v/>
      </c>
      <c r="AU628" s="3"/>
      <c r="AZ628" s="3"/>
      <c r="BA628" s="3"/>
      <c r="BB628" s="3"/>
      <c r="BC628" s="3"/>
      <c r="BD628" s="3"/>
      <c r="BE628" s="1486">
        <f t="shared" si="1"/>
        <v>0</v>
      </c>
      <c r="BF628" s="1488"/>
      <c r="BG628" s="1500">
        <f t="shared" si="2"/>
        <v>0</v>
      </c>
      <c r="BH628" s="1502"/>
      <c r="BI628" s="1486">
        <f t="shared" si="3"/>
        <v>0</v>
      </c>
      <c r="BJ628" s="1488"/>
      <c r="BK628" s="1500">
        <f t="shared" si="4"/>
        <v>0</v>
      </c>
      <c r="BL628" s="1502"/>
      <c r="BM628" s="3"/>
      <c r="BN628" s="1490">
        <f t="shared" si="5"/>
        <v>0</v>
      </c>
      <c r="BO628" s="1491"/>
      <c r="BP628" s="1491"/>
      <c r="BQ628" s="1491"/>
      <c r="BR628" s="1492"/>
      <c r="BS628" s="1489">
        <f t="shared" si="6"/>
        <v>0</v>
      </c>
      <c r="BT628" s="1489"/>
      <c r="BU628" s="1489"/>
      <c r="BV628" s="1489"/>
      <c r="BW628" s="1489"/>
      <c r="BX628" s="1489">
        <f t="shared" si="7"/>
        <v>0</v>
      </c>
      <c r="BY628" s="1489"/>
      <c r="BZ628" s="1489"/>
      <c r="CA628" s="1489"/>
      <c r="CB628" s="1489"/>
      <c r="CC628" s="1489">
        <f t="shared" si="8"/>
        <v>0</v>
      </c>
      <c r="CD628" s="1489"/>
      <c r="CE628" s="1489"/>
      <c r="CF628" s="1489"/>
      <c r="CG628" s="1489"/>
      <c r="CH628" s="1489">
        <f t="shared" si="9"/>
        <v>0</v>
      </c>
      <c r="CI628" s="1489"/>
      <c r="CJ628" s="1489"/>
      <c r="CK628" s="1489"/>
      <c r="CL628" s="1489"/>
      <c r="CM628" s="1489">
        <f t="shared" si="10"/>
        <v>0</v>
      </c>
      <c r="CN628" s="1489"/>
      <c r="CO628" s="1489"/>
      <c r="CP628" s="1489"/>
      <c r="CQ628" s="1489"/>
      <c r="CR628" s="6"/>
      <c r="CS628" s="1499">
        <f t="shared" si="11"/>
        <v>0</v>
      </c>
      <c r="CT628" s="1499"/>
      <c r="CU628" s="1499"/>
      <c r="CV628" s="1499"/>
      <c r="CW628" s="1499"/>
      <c r="CX628" s="1499">
        <f t="shared" si="12"/>
        <v>0</v>
      </c>
      <c r="CY628" s="1499"/>
      <c r="CZ628" s="1499"/>
      <c r="DA628" s="1499"/>
      <c r="DB628" s="1499"/>
      <c r="DC628" s="1499">
        <f t="shared" si="13"/>
        <v>0</v>
      </c>
      <c r="DD628" s="1499"/>
      <c r="DE628" s="1499"/>
      <c r="DF628" s="1499"/>
      <c r="DG628" s="1499"/>
      <c r="DH628" s="1499">
        <f t="shared" si="14"/>
        <v>0</v>
      </c>
      <c r="DI628" s="1499"/>
      <c r="DJ628" s="1499"/>
      <c r="DK628" s="1499"/>
      <c r="DL628" s="1499"/>
      <c r="DM628" s="1499">
        <f t="shared" si="15"/>
        <v>0</v>
      </c>
      <c r="DN628" s="1499"/>
      <c r="DO628" s="1499"/>
      <c r="DP628" s="1499"/>
      <c r="DQ628" s="1499"/>
      <c r="DR628" s="1499">
        <f t="shared" si="16"/>
        <v>0</v>
      </c>
      <c r="DS628" s="1499"/>
      <c r="DT628" s="1499"/>
      <c r="DU628" s="1499"/>
      <c r="DV628" s="1499"/>
      <c r="DX628" s="1486" t="str">
        <f t="shared" si="17"/>
        <v/>
      </c>
      <c r="DY628" s="1487"/>
      <c r="DZ628" s="1487"/>
      <c r="EA628" s="1487"/>
      <c r="EB628" s="1488"/>
      <c r="EC628" s="1486" t="str">
        <f t="shared" si="18"/>
        <v/>
      </c>
      <c r="ED628" s="1487"/>
      <c r="EE628" s="1487"/>
      <c r="EF628" s="1487"/>
      <c r="EG628" s="1488"/>
      <c r="EH628" s="1486" t="str">
        <f t="shared" si="19"/>
        <v/>
      </c>
      <c r="EI628" s="1487"/>
      <c r="EJ628" s="1487"/>
      <c r="EK628" s="1487"/>
      <c r="EL628" s="1488"/>
      <c r="EM628" s="1486" t="str">
        <f t="shared" si="20"/>
        <v/>
      </c>
      <c r="EN628" s="1487"/>
      <c r="EO628" s="1487"/>
      <c r="EP628" s="1487"/>
      <c r="EQ628" s="1488"/>
      <c r="ER628" s="1486" t="str">
        <f t="shared" si="21"/>
        <v/>
      </c>
      <c r="ES628" s="1487"/>
      <c r="ET628" s="1487"/>
      <c r="EU628" s="1487"/>
      <c r="EV628" s="1488"/>
      <c r="EW628" s="1486" t="str">
        <f t="shared" si="22"/>
        <v/>
      </c>
      <c r="EX628" s="1487"/>
      <c r="EY628" s="1487"/>
      <c r="EZ628" s="1487"/>
      <c r="FA628" s="1488"/>
    </row>
    <row r="629" spans="2:157" ht="13" customHeight="1">
      <c r="B629" s="52" t="s">
        <v>119</v>
      </c>
      <c r="C629" s="1712" t="s">
        <v>2736</v>
      </c>
      <c r="D629" s="1712"/>
      <c r="E629" s="1712"/>
      <c r="F629" s="1712"/>
      <c r="G629" s="1712"/>
      <c r="H629" s="1712"/>
      <c r="I629" s="1712"/>
      <c r="J629" s="1712"/>
      <c r="K629" s="1712"/>
      <c r="L629" s="1712"/>
      <c r="M629" s="1441" t="s">
        <v>1291</v>
      </c>
      <c r="N629" s="1441"/>
      <c r="O629" s="1441"/>
      <c r="P629" s="1441"/>
      <c r="Q629" s="1434"/>
      <c r="R629" s="1435"/>
      <c r="S629" s="1436"/>
      <c r="T629" s="1434"/>
      <c r="U629" s="1435"/>
      <c r="V629" s="1436"/>
      <c r="W629" s="1430"/>
      <c r="X629" s="1431"/>
      <c r="Y629" s="1432"/>
      <c r="Z629" s="1509" t="s">
        <v>1291</v>
      </c>
      <c r="AA629" s="1510"/>
      <c r="AB629" s="1511"/>
      <c r="AC629" s="1423"/>
      <c r="AD629" s="1424"/>
      <c r="AE629" s="1425"/>
      <c r="AF629" s="1503"/>
      <c r="AG629" s="1504"/>
      <c r="AH629" s="1504"/>
      <c r="AI629" s="1504"/>
      <c r="AJ629" s="1505"/>
      <c r="AK629" s="1437"/>
      <c r="AL629" s="1438"/>
      <c r="AM629" s="1438"/>
      <c r="AN629" s="1439"/>
      <c r="AO629" s="1506">
        <v>4433541</v>
      </c>
      <c r="AP629" s="1507"/>
      <c r="AQ629" s="1507"/>
      <c r="AR629" s="1507"/>
      <c r="AS629" s="1508"/>
      <c r="AT629" s="1192" t="str">
        <f t="shared" ref="AT629:AT638" si="23">IF(AND(NOT(C628=""),C629="",NOT(C630="")),"!","")</f>
        <v/>
      </c>
      <c r="AU629" s="3"/>
      <c r="AZ629" s="3"/>
      <c r="BA629" s="3"/>
      <c r="BB629" s="3"/>
      <c r="BC629" s="3"/>
      <c r="BD629" s="3"/>
      <c r="BE629" s="1486">
        <f t="shared" si="1"/>
        <v>0</v>
      </c>
      <c r="BF629" s="1488"/>
      <c r="BG629" s="1500">
        <f t="shared" si="2"/>
        <v>0</v>
      </c>
      <c r="BH629" s="1502"/>
      <c r="BI629" s="1486">
        <f t="shared" si="3"/>
        <v>0</v>
      </c>
      <c r="BJ629" s="1488"/>
      <c r="BK629" s="1500">
        <f t="shared" si="4"/>
        <v>0</v>
      </c>
      <c r="BL629" s="1502"/>
      <c r="BM629" s="3"/>
      <c r="BN629" s="1490">
        <f t="shared" si="5"/>
        <v>0</v>
      </c>
      <c r="BO629" s="1491"/>
      <c r="BP629" s="1491"/>
      <c r="BQ629" s="1491"/>
      <c r="BR629" s="1492"/>
      <c r="BS629" s="1489">
        <f t="shared" si="6"/>
        <v>0</v>
      </c>
      <c r="BT629" s="1489"/>
      <c r="BU629" s="1489"/>
      <c r="BV629" s="1489"/>
      <c r="BW629" s="1489"/>
      <c r="BX629" s="1489">
        <f t="shared" si="7"/>
        <v>0</v>
      </c>
      <c r="BY629" s="1489"/>
      <c r="BZ629" s="1489"/>
      <c r="CA629" s="1489"/>
      <c r="CB629" s="1489"/>
      <c r="CC629" s="1489">
        <f t="shared" si="8"/>
        <v>0</v>
      </c>
      <c r="CD629" s="1489"/>
      <c r="CE629" s="1489"/>
      <c r="CF629" s="1489"/>
      <c r="CG629" s="1489"/>
      <c r="CH629" s="1489">
        <f t="shared" si="9"/>
        <v>0</v>
      </c>
      <c r="CI629" s="1489"/>
      <c r="CJ629" s="1489"/>
      <c r="CK629" s="1489"/>
      <c r="CL629" s="1489"/>
      <c r="CM629" s="1489">
        <f t="shared" si="10"/>
        <v>0</v>
      </c>
      <c r="CN629" s="1489"/>
      <c r="CO629" s="1489"/>
      <c r="CP629" s="1489"/>
      <c r="CQ629" s="1489"/>
      <c r="CR629" s="6"/>
      <c r="CS629" s="1499">
        <f t="shared" si="11"/>
        <v>0</v>
      </c>
      <c r="CT629" s="1499"/>
      <c r="CU629" s="1499"/>
      <c r="CV629" s="1499"/>
      <c r="CW629" s="1499"/>
      <c r="CX629" s="1499">
        <f t="shared" si="12"/>
        <v>0</v>
      </c>
      <c r="CY629" s="1499"/>
      <c r="CZ629" s="1499"/>
      <c r="DA629" s="1499"/>
      <c r="DB629" s="1499"/>
      <c r="DC629" s="1499">
        <f t="shared" si="13"/>
        <v>0</v>
      </c>
      <c r="DD629" s="1499"/>
      <c r="DE629" s="1499"/>
      <c r="DF629" s="1499"/>
      <c r="DG629" s="1499"/>
      <c r="DH629" s="1499">
        <f t="shared" si="14"/>
        <v>0</v>
      </c>
      <c r="DI629" s="1499"/>
      <c r="DJ629" s="1499"/>
      <c r="DK629" s="1499"/>
      <c r="DL629" s="1499"/>
      <c r="DM629" s="1499">
        <f t="shared" si="15"/>
        <v>0</v>
      </c>
      <c r="DN629" s="1499"/>
      <c r="DO629" s="1499"/>
      <c r="DP629" s="1499"/>
      <c r="DQ629" s="1499"/>
      <c r="DR629" s="1499">
        <f t="shared" si="16"/>
        <v>0</v>
      </c>
      <c r="DS629" s="1499"/>
      <c r="DT629" s="1499"/>
      <c r="DU629" s="1499"/>
      <c r="DV629" s="1499"/>
      <c r="DX629" s="1486" t="str">
        <f t="shared" si="17"/>
        <v/>
      </c>
      <c r="DY629" s="1487"/>
      <c r="DZ629" s="1487"/>
      <c r="EA629" s="1487"/>
      <c r="EB629" s="1488"/>
      <c r="EC629" s="1486" t="str">
        <f t="shared" si="18"/>
        <v/>
      </c>
      <c r="ED629" s="1487"/>
      <c r="EE629" s="1487"/>
      <c r="EF629" s="1487"/>
      <c r="EG629" s="1488"/>
      <c r="EH629" s="1486" t="str">
        <f t="shared" si="19"/>
        <v/>
      </c>
      <c r="EI629" s="1487"/>
      <c r="EJ629" s="1487"/>
      <c r="EK629" s="1487"/>
      <c r="EL629" s="1488"/>
      <c r="EM629" s="1486" t="str">
        <f t="shared" si="20"/>
        <v/>
      </c>
      <c r="EN629" s="1487"/>
      <c r="EO629" s="1487"/>
      <c r="EP629" s="1487"/>
      <c r="EQ629" s="1488"/>
      <c r="ER629" s="1486" t="str">
        <f t="shared" si="21"/>
        <v/>
      </c>
      <c r="ES629" s="1487"/>
      <c r="ET629" s="1487"/>
      <c r="EU629" s="1487"/>
      <c r="EV629" s="1488"/>
      <c r="EW629" s="1486" t="str">
        <f t="shared" si="22"/>
        <v/>
      </c>
      <c r="EX629" s="1487"/>
      <c r="EY629" s="1487"/>
      <c r="EZ629" s="1487"/>
      <c r="FA629" s="1488"/>
    </row>
    <row r="630" spans="2:157" ht="13" customHeight="1">
      <c r="B630" s="52" t="s">
        <v>590</v>
      </c>
      <c r="C630" s="1712" t="s">
        <v>2759</v>
      </c>
      <c r="D630" s="1418"/>
      <c r="E630" s="1418"/>
      <c r="F630" s="1418"/>
      <c r="G630" s="1418"/>
      <c r="H630" s="1418"/>
      <c r="I630" s="1418"/>
      <c r="J630" s="1418"/>
      <c r="K630" s="1418"/>
      <c r="L630" s="1418"/>
      <c r="M630" s="1441" t="s">
        <v>1291</v>
      </c>
      <c r="N630" s="1441"/>
      <c r="O630" s="1441"/>
      <c r="P630" s="1441"/>
      <c r="Q630" s="1434"/>
      <c r="R630" s="1435"/>
      <c r="S630" s="1436"/>
      <c r="T630" s="1434"/>
      <c r="U630" s="1435"/>
      <c r="V630" s="1436"/>
      <c r="W630" s="1430"/>
      <c r="X630" s="1431"/>
      <c r="Y630" s="1432"/>
      <c r="Z630" s="1509" t="s">
        <v>1291</v>
      </c>
      <c r="AA630" s="1510"/>
      <c r="AB630" s="1511"/>
      <c r="AC630" s="1423"/>
      <c r="AD630" s="1424"/>
      <c r="AE630" s="1425"/>
      <c r="AF630" s="1503"/>
      <c r="AG630" s="1504"/>
      <c r="AH630" s="1504"/>
      <c r="AI630" s="1504"/>
      <c r="AJ630" s="1505"/>
      <c r="AK630" s="1437"/>
      <c r="AL630" s="1438"/>
      <c r="AM630" s="1438"/>
      <c r="AN630" s="1439"/>
      <c r="AO630" s="1506">
        <v>2975091</v>
      </c>
      <c r="AP630" s="1507"/>
      <c r="AQ630" s="1507"/>
      <c r="AR630" s="1507"/>
      <c r="AS630" s="1508"/>
      <c r="AT630" s="1192" t="str">
        <f t="shared" si="23"/>
        <v/>
      </c>
      <c r="AU630" s="3"/>
      <c r="AZ630" s="3"/>
      <c r="BA630" s="3"/>
      <c r="BB630" s="3"/>
      <c r="BC630" s="3"/>
      <c r="BD630" s="3"/>
      <c r="BE630" s="1486">
        <f t="shared" si="1"/>
        <v>0</v>
      </c>
      <c r="BF630" s="1488"/>
      <c r="BG630" s="1500">
        <f t="shared" si="2"/>
        <v>0</v>
      </c>
      <c r="BH630" s="1502"/>
      <c r="BI630" s="1486">
        <f t="shared" si="3"/>
        <v>0</v>
      </c>
      <c r="BJ630" s="1488"/>
      <c r="BK630" s="1500">
        <f t="shared" si="4"/>
        <v>0</v>
      </c>
      <c r="BL630" s="1502"/>
      <c r="BM630" s="3"/>
      <c r="BN630" s="1490">
        <f t="shared" si="5"/>
        <v>0</v>
      </c>
      <c r="BO630" s="1491"/>
      <c r="BP630" s="1491"/>
      <c r="BQ630" s="1491"/>
      <c r="BR630" s="1492"/>
      <c r="BS630" s="1489">
        <f t="shared" si="6"/>
        <v>0</v>
      </c>
      <c r="BT630" s="1489"/>
      <c r="BU630" s="1489"/>
      <c r="BV630" s="1489"/>
      <c r="BW630" s="1489"/>
      <c r="BX630" s="1489">
        <f t="shared" si="7"/>
        <v>0</v>
      </c>
      <c r="BY630" s="1489"/>
      <c r="BZ630" s="1489"/>
      <c r="CA630" s="1489"/>
      <c r="CB630" s="1489"/>
      <c r="CC630" s="1489">
        <f t="shared" si="8"/>
        <v>0</v>
      </c>
      <c r="CD630" s="1489"/>
      <c r="CE630" s="1489"/>
      <c r="CF630" s="1489"/>
      <c r="CG630" s="1489"/>
      <c r="CH630" s="1489">
        <f t="shared" si="9"/>
        <v>0</v>
      </c>
      <c r="CI630" s="1489"/>
      <c r="CJ630" s="1489"/>
      <c r="CK630" s="1489"/>
      <c r="CL630" s="1489"/>
      <c r="CM630" s="1489">
        <f t="shared" si="10"/>
        <v>0</v>
      </c>
      <c r="CN630" s="1489"/>
      <c r="CO630" s="1489"/>
      <c r="CP630" s="1489"/>
      <c r="CQ630" s="1489"/>
      <c r="CR630" s="6"/>
      <c r="CS630" s="1499">
        <f t="shared" si="11"/>
        <v>0</v>
      </c>
      <c r="CT630" s="1499"/>
      <c r="CU630" s="1499"/>
      <c r="CV630" s="1499"/>
      <c r="CW630" s="1499"/>
      <c r="CX630" s="1499">
        <f t="shared" si="12"/>
        <v>0</v>
      </c>
      <c r="CY630" s="1499"/>
      <c r="CZ630" s="1499"/>
      <c r="DA630" s="1499"/>
      <c r="DB630" s="1499"/>
      <c r="DC630" s="1499">
        <f t="shared" si="13"/>
        <v>0</v>
      </c>
      <c r="DD630" s="1499"/>
      <c r="DE630" s="1499"/>
      <c r="DF630" s="1499"/>
      <c r="DG630" s="1499"/>
      <c r="DH630" s="1499">
        <f t="shared" si="14"/>
        <v>0</v>
      </c>
      <c r="DI630" s="1499"/>
      <c r="DJ630" s="1499"/>
      <c r="DK630" s="1499"/>
      <c r="DL630" s="1499"/>
      <c r="DM630" s="1499">
        <f t="shared" si="15"/>
        <v>0</v>
      </c>
      <c r="DN630" s="1499"/>
      <c r="DO630" s="1499"/>
      <c r="DP630" s="1499"/>
      <c r="DQ630" s="1499"/>
      <c r="DR630" s="1499">
        <f t="shared" si="16"/>
        <v>0</v>
      </c>
      <c r="DS630" s="1499"/>
      <c r="DT630" s="1499"/>
      <c r="DU630" s="1499"/>
      <c r="DV630" s="1499"/>
      <c r="DX630" s="1486" t="str">
        <f t="shared" si="17"/>
        <v/>
      </c>
      <c r="DY630" s="1487"/>
      <c r="DZ630" s="1487"/>
      <c r="EA630" s="1487"/>
      <c r="EB630" s="1488"/>
      <c r="EC630" s="1486" t="str">
        <f t="shared" si="18"/>
        <v/>
      </c>
      <c r="ED630" s="1487"/>
      <c r="EE630" s="1487"/>
      <c r="EF630" s="1487"/>
      <c r="EG630" s="1488"/>
      <c r="EH630" s="1486" t="str">
        <f t="shared" si="19"/>
        <v/>
      </c>
      <c r="EI630" s="1487"/>
      <c r="EJ630" s="1487"/>
      <c r="EK630" s="1487"/>
      <c r="EL630" s="1488"/>
      <c r="EM630" s="1486" t="str">
        <f t="shared" si="20"/>
        <v/>
      </c>
      <c r="EN630" s="1487"/>
      <c r="EO630" s="1487"/>
      <c r="EP630" s="1487"/>
      <c r="EQ630" s="1488"/>
      <c r="ER630" s="1486" t="str">
        <f t="shared" si="21"/>
        <v/>
      </c>
      <c r="ES630" s="1487"/>
      <c r="ET630" s="1487"/>
      <c r="EU630" s="1487"/>
      <c r="EV630" s="1488"/>
      <c r="EW630" s="1486" t="str">
        <f t="shared" si="22"/>
        <v/>
      </c>
      <c r="EX630" s="1487"/>
      <c r="EY630" s="1487"/>
      <c r="EZ630" s="1487"/>
      <c r="FA630" s="1488"/>
    </row>
    <row r="631" spans="2:157" ht="13" customHeight="1">
      <c r="B631" s="52" t="s">
        <v>773</v>
      </c>
      <c r="C631" s="1418"/>
      <c r="D631" s="1418"/>
      <c r="E631" s="1418"/>
      <c r="F631" s="1418"/>
      <c r="G631" s="1418"/>
      <c r="H631" s="1418"/>
      <c r="I631" s="1418"/>
      <c r="J631" s="1418"/>
      <c r="K631" s="1418"/>
      <c r="L631" s="1418"/>
      <c r="M631" s="1441" t="s">
        <v>1291</v>
      </c>
      <c r="N631" s="1441"/>
      <c r="O631" s="1441"/>
      <c r="P631" s="1441"/>
      <c r="Q631" s="1434"/>
      <c r="R631" s="1435"/>
      <c r="S631" s="1436"/>
      <c r="T631" s="1434"/>
      <c r="U631" s="1435"/>
      <c r="V631" s="1436"/>
      <c r="W631" s="1430"/>
      <c r="X631" s="1431"/>
      <c r="Y631" s="1432"/>
      <c r="Z631" s="1509" t="s">
        <v>1291</v>
      </c>
      <c r="AA631" s="1510"/>
      <c r="AB631" s="1511"/>
      <c r="AC631" s="1423"/>
      <c r="AD631" s="1424"/>
      <c r="AE631" s="1425"/>
      <c r="AF631" s="1503"/>
      <c r="AG631" s="1504"/>
      <c r="AH631" s="1504"/>
      <c r="AI631" s="1504"/>
      <c r="AJ631" s="1505"/>
      <c r="AK631" s="1437"/>
      <c r="AL631" s="1438"/>
      <c r="AM631" s="1438"/>
      <c r="AN631" s="1439"/>
      <c r="AO631" s="1506"/>
      <c r="AP631" s="1507"/>
      <c r="AQ631" s="1507"/>
      <c r="AR631" s="1507"/>
      <c r="AS631" s="1508"/>
      <c r="AT631" s="1192" t="str">
        <f t="shared" si="23"/>
        <v/>
      </c>
      <c r="AU631" s="3"/>
      <c r="AZ631" s="3"/>
      <c r="BA631" s="3"/>
      <c r="BB631" s="3"/>
      <c r="BC631" s="3"/>
      <c r="BD631" s="3"/>
      <c r="BE631" s="1486">
        <f t="shared" si="1"/>
        <v>0</v>
      </c>
      <c r="BF631" s="1488"/>
      <c r="BG631" s="1500">
        <f t="shared" si="2"/>
        <v>0</v>
      </c>
      <c r="BH631" s="1502"/>
      <c r="BI631" s="1486">
        <f t="shared" si="3"/>
        <v>0</v>
      </c>
      <c r="BJ631" s="1488"/>
      <c r="BK631" s="1500">
        <f t="shared" si="4"/>
        <v>0</v>
      </c>
      <c r="BL631" s="1502"/>
      <c r="BM631" s="3"/>
      <c r="BN631" s="1490">
        <f t="shared" si="5"/>
        <v>0</v>
      </c>
      <c r="BO631" s="1491"/>
      <c r="BP631" s="1491"/>
      <c r="BQ631" s="1491"/>
      <c r="BR631" s="1492"/>
      <c r="BS631" s="1489">
        <f t="shared" si="6"/>
        <v>0</v>
      </c>
      <c r="BT631" s="1489"/>
      <c r="BU631" s="1489"/>
      <c r="BV631" s="1489"/>
      <c r="BW631" s="1489"/>
      <c r="BX631" s="1489">
        <f t="shared" si="7"/>
        <v>0</v>
      </c>
      <c r="BY631" s="1489"/>
      <c r="BZ631" s="1489"/>
      <c r="CA631" s="1489"/>
      <c r="CB631" s="1489"/>
      <c r="CC631" s="1489">
        <f t="shared" si="8"/>
        <v>0</v>
      </c>
      <c r="CD631" s="1489"/>
      <c r="CE631" s="1489"/>
      <c r="CF631" s="1489"/>
      <c r="CG631" s="1489"/>
      <c r="CH631" s="1489">
        <f t="shared" si="9"/>
        <v>0</v>
      </c>
      <c r="CI631" s="1489"/>
      <c r="CJ631" s="1489"/>
      <c r="CK631" s="1489"/>
      <c r="CL631" s="1489"/>
      <c r="CM631" s="1489">
        <f t="shared" si="10"/>
        <v>0</v>
      </c>
      <c r="CN631" s="1489"/>
      <c r="CO631" s="1489"/>
      <c r="CP631" s="1489"/>
      <c r="CQ631" s="1489"/>
      <c r="CR631" s="6"/>
      <c r="CS631" s="1499">
        <f t="shared" si="11"/>
        <v>0</v>
      </c>
      <c r="CT631" s="1499"/>
      <c r="CU631" s="1499"/>
      <c r="CV631" s="1499"/>
      <c r="CW631" s="1499"/>
      <c r="CX631" s="1499">
        <f t="shared" si="12"/>
        <v>0</v>
      </c>
      <c r="CY631" s="1499"/>
      <c r="CZ631" s="1499"/>
      <c r="DA631" s="1499"/>
      <c r="DB631" s="1499"/>
      <c r="DC631" s="1499">
        <f t="shared" si="13"/>
        <v>0</v>
      </c>
      <c r="DD631" s="1499"/>
      <c r="DE631" s="1499"/>
      <c r="DF631" s="1499"/>
      <c r="DG631" s="1499"/>
      <c r="DH631" s="1499">
        <f t="shared" si="14"/>
        <v>0</v>
      </c>
      <c r="DI631" s="1499"/>
      <c r="DJ631" s="1499"/>
      <c r="DK631" s="1499"/>
      <c r="DL631" s="1499"/>
      <c r="DM631" s="1499">
        <f t="shared" si="15"/>
        <v>0</v>
      </c>
      <c r="DN631" s="1499"/>
      <c r="DO631" s="1499"/>
      <c r="DP631" s="1499"/>
      <c r="DQ631" s="1499"/>
      <c r="DR631" s="1499">
        <f t="shared" si="16"/>
        <v>0</v>
      </c>
      <c r="DS631" s="1499"/>
      <c r="DT631" s="1499"/>
      <c r="DU631" s="1499"/>
      <c r="DV631" s="1499"/>
      <c r="DX631" s="1486" t="str">
        <f t="shared" si="17"/>
        <v/>
      </c>
      <c r="DY631" s="1487"/>
      <c r="DZ631" s="1487"/>
      <c r="EA631" s="1487"/>
      <c r="EB631" s="1488"/>
      <c r="EC631" s="1486" t="str">
        <f t="shared" si="18"/>
        <v/>
      </c>
      <c r="ED631" s="1487"/>
      <c r="EE631" s="1487"/>
      <c r="EF631" s="1487"/>
      <c r="EG631" s="1488"/>
      <c r="EH631" s="1486" t="str">
        <f t="shared" si="19"/>
        <v/>
      </c>
      <c r="EI631" s="1487"/>
      <c r="EJ631" s="1487"/>
      <c r="EK631" s="1487"/>
      <c r="EL631" s="1488"/>
      <c r="EM631" s="1486" t="str">
        <f t="shared" si="20"/>
        <v/>
      </c>
      <c r="EN631" s="1487"/>
      <c r="EO631" s="1487"/>
      <c r="EP631" s="1487"/>
      <c r="EQ631" s="1488"/>
      <c r="ER631" s="1486" t="str">
        <f t="shared" si="21"/>
        <v/>
      </c>
      <c r="ES631" s="1487"/>
      <c r="ET631" s="1487"/>
      <c r="EU631" s="1487"/>
      <c r="EV631" s="1488"/>
      <c r="EW631" s="1486" t="str">
        <f t="shared" si="22"/>
        <v/>
      </c>
      <c r="EX631" s="1487"/>
      <c r="EY631" s="1487"/>
      <c r="EZ631" s="1487"/>
      <c r="FA631" s="1488"/>
    </row>
    <row r="632" spans="2:157" ht="13" customHeight="1">
      <c r="B632" s="52" t="s">
        <v>593</v>
      </c>
      <c r="C632" s="1418"/>
      <c r="D632" s="1418"/>
      <c r="E632" s="1418"/>
      <c r="F632" s="1418"/>
      <c r="G632" s="1418"/>
      <c r="H632" s="1418"/>
      <c r="I632" s="1418"/>
      <c r="J632" s="1418"/>
      <c r="K632" s="1418"/>
      <c r="L632" s="1418"/>
      <c r="M632" s="1441" t="s">
        <v>1291</v>
      </c>
      <c r="N632" s="1441"/>
      <c r="O632" s="1441"/>
      <c r="P632" s="1441"/>
      <c r="Q632" s="1434"/>
      <c r="R632" s="1435"/>
      <c r="S632" s="1436"/>
      <c r="T632" s="1434"/>
      <c r="U632" s="1435"/>
      <c r="V632" s="1436"/>
      <c r="W632" s="1430"/>
      <c r="X632" s="1431"/>
      <c r="Y632" s="1432"/>
      <c r="Z632" s="1509" t="s">
        <v>1291</v>
      </c>
      <c r="AA632" s="1510"/>
      <c r="AB632" s="1511"/>
      <c r="AC632" s="1423"/>
      <c r="AD632" s="1424"/>
      <c r="AE632" s="1425"/>
      <c r="AF632" s="1503"/>
      <c r="AG632" s="1504"/>
      <c r="AH632" s="1504"/>
      <c r="AI632" s="1504"/>
      <c r="AJ632" s="1505"/>
      <c r="AK632" s="1437"/>
      <c r="AL632" s="1438"/>
      <c r="AM632" s="1438"/>
      <c r="AN632" s="1439"/>
      <c r="AO632" s="1506"/>
      <c r="AP632" s="1507"/>
      <c r="AQ632" s="1507"/>
      <c r="AR632" s="1507"/>
      <c r="AS632" s="1508"/>
      <c r="AT632" s="1192" t="str">
        <f t="shared" si="23"/>
        <v/>
      </c>
      <c r="AU632" s="3"/>
      <c r="AZ632" s="3"/>
      <c r="BA632" s="3"/>
      <c r="BB632" s="3"/>
      <c r="BC632" s="3"/>
      <c r="BD632" s="3"/>
      <c r="BE632" s="3"/>
      <c r="BF632" s="3"/>
      <c r="BG632" s="1486">
        <f>SUM(BG597:BH631)</f>
        <v>43</v>
      </c>
      <c r="BH632" s="1488"/>
      <c r="BI632" s="3"/>
      <c r="BJ632" s="3"/>
      <c r="BK632" s="1486">
        <f>SUM(BK597:BL631)</f>
        <v>45</v>
      </c>
      <c r="BL632" s="1488"/>
      <c r="BM632" s="3"/>
      <c r="BN632" s="1486">
        <f>SUM(BN597:BR631)</f>
        <v>177</v>
      </c>
      <c r="BO632" s="1487"/>
      <c r="BP632" s="1487"/>
      <c r="BQ632" s="1487"/>
      <c r="BR632" s="1488"/>
      <c r="BS632" s="1498">
        <f>SUM(BS597:BW631)</f>
        <v>0</v>
      </c>
      <c r="BT632" s="1498"/>
      <c r="BU632" s="1498"/>
      <c r="BV632" s="1498"/>
      <c r="BW632" s="1498"/>
      <c r="BX632" s="1498">
        <f>SUM(BX597:CB631)</f>
        <v>0</v>
      </c>
      <c r="BY632" s="1498"/>
      <c r="BZ632" s="1498"/>
      <c r="CA632" s="1498"/>
      <c r="CB632" s="1498"/>
      <c r="CC632" s="1498">
        <f>SUM(CC597:CG631)</f>
        <v>0</v>
      </c>
      <c r="CD632" s="1498"/>
      <c r="CE632" s="1498"/>
      <c r="CF632" s="1498"/>
      <c r="CG632" s="1498"/>
      <c r="CH632" s="1498">
        <f>SUM(CH597:CL631)</f>
        <v>0</v>
      </c>
      <c r="CI632" s="1498"/>
      <c r="CJ632" s="1498"/>
      <c r="CK632" s="1498"/>
      <c r="CL632" s="1498"/>
      <c r="CM632" s="1498">
        <f>SUM(CM597:CQ631)</f>
        <v>0</v>
      </c>
      <c r="CN632" s="1498"/>
      <c r="CO632" s="1498"/>
      <c r="CP632" s="1498"/>
      <c r="CQ632" s="1498"/>
      <c r="CR632" s="385"/>
      <c r="CS632" s="1498">
        <f>SUM(CS597:CW631)</f>
        <v>45</v>
      </c>
      <c r="CT632" s="1498"/>
      <c r="CU632" s="1498"/>
      <c r="CV632" s="1498"/>
      <c r="CW632" s="1498"/>
      <c r="CX632" s="1498">
        <f>SUM(CX597:DB631)</f>
        <v>0</v>
      </c>
      <c r="CY632" s="1498"/>
      <c r="CZ632" s="1498"/>
      <c r="DA632" s="1498"/>
      <c r="DB632" s="1498"/>
      <c r="DC632" s="1498">
        <f>SUM(DC597:DG631)</f>
        <v>0</v>
      </c>
      <c r="DD632" s="1498"/>
      <c r="DE632" s="1498"/>
      <c r="DF632" s="1498"/>
      <c r="DG632" s="1498"/>
      <c r="DH632" s="1498">
        <f>SUM(DH597:DL631)</f>
        <v>0</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3382</v>
      </c>
      <c r="DY632" s="1498"/>
      <c r="DZ632" s="1498"/>
      <c r="EA632" s="1498"/>
      <c r="EB632" s="1498"/>
      <c r="EC632" s="1498">
        <f>SUM(EC597:EG631)</f>
        <v>0</v>
      </c>
      <c r="ED632" s="1498"/>
      <c r="EE632" s="1498"/>
      <c r="EF632" s="1498"/>
      <c r="EG632" s="1498"/>
      <c r="EH632" s="1498">
        <f>SUM(EH597:EL631)</f>
        <v>0</v>
      </c>
      <c r="EI632" s="1498"/>
      <c r="EJ632" s="1498"/>
      <c r="EK632" s="1498"/>
      <c r="EL632" s="1498"/>
      <c r="EM632" s="1498">
        <f>SUM(EM597:EQ631)</f>
        <v>0</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3" customHeight="1">
      <c r="B633" s="52" t="s">
        <v>464</v>
      </c>
      <c r="C633" s="1418"/>
      <c r="D633" s="1418"/>
      <c r="E633" s="1418"/>
      <c r="F633" s="1418"/>
      <c r="G633" s="1418"/>
      <c r="H633" s="1418"/>
      <c r="I633" s="1418"/>
      <c r="J633" s="1418"/>
      <c r="K633" s="1418"/>
      <c r="L633" s="1418"/>
      <c r="M633" s="1441" t="s">
        <v>1291</v>
      </c>
      <c r="N633" s="1441"/>
      <c r="O633" s="1441"/>
      <c r="P633" s="1441"/>
      <c r="Q633" s="1434"/>
      <c r="R633" s="1435"/>
      <c r="S633" s="1436"/>
      <c r="T633" s="1434"/>
      <c r="U633" s="1435"/>
      <c r="V633" s="1436"/>
      <c r="W633" s="1430"/>
      <c r="X633" s="1431"/>
      <c r="Y633" s="1432"/>
      <c r="Z633" s="1509" t="s">
        <v>1291</v>
      </c>
      <c r="AA633" s="1510"/>
      <c r="AB633" s="1511"/>
      <c r="AC633" s="1423"/>
      <c r="AD633" s="1424"/>
      <c r="AE633" s="1425"/>
      <c r="AF633" s="1503"/>
      <c r="AG633" s="1504"/>
      <c r="AH633" s="1504"/>
      <c r="AI633" s="1504"/>
      <c r="AJ633" s="1505"/>
      <c r="AK633" s="1437"/>
      <c r="AL633" s="1438"/>
      <c r="AM633" s="1438"/>
      <c r="AN633" s="1439"/>
      <c r="AO633" s="1506"/>
      <c r="AP633" s="1507"/>
      <c r="AQ633" s="1507"/>
      <c r="AR633" s="1507"/>
      <c r="AS633" s="150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486">
        <f>BN632+BS632+BX632+CC632+CH632+CM632</f>
        <v>177</v>
      </c>
      <c r="CN633" s="1487"/>
      <c r="CO633" s="1487"/>
      <c r="CP633" s="1487"/>
      <c r="CQ633" s="1488"/>
      <c r="CR633" s="385"/>
      <c r="CS633" s="3"/>
      <c r="CT633" s="3"/>
      <c r="CU633" s="3"/>
      <c r="CV633" s="3"/>
      <c r="CW633" s="3"/>
      <c r="CX633" s="3"/>
      <c r="CY633" s="3"/>
      <c r="CZ633" s="3"/>
      <c r="DA633" s="3"/>
      <c r="DB633" s="3"/>
      <c r="DC633" s="3"/>
      <c r="DD633" s="3"/>
      <c r="DE633" s="3"/>
      <c r="DF633" s="3"/>
    </row>
    <row r="634" spans="2:157" ht="13" customHeight="1">
      <c r="B634" s="52" t="s">
        <v>465</v>
      </c>
      <c r="C634" s="1418"/>
      <c r="D634" s="1418"/>
      <c r="E634" s="1418"/>
      <c r="F634" s="1418"/>
      <c r="G634" s="1418"/>
      <c r="H634" s="1418"/>
      <c r="I634" s="1418"/>
      <c r="J634" s="1418"/>
      <c r="K634" s="1418"/>
      <c r="L634" s="1418"/>
      <c r="M634" s="1441" t="s">
        <v>1291</v>
      </c>
      <c r="N634" s="1441"/>
      <c r="O634" s="1441"/>
      <c r="P634" s="1441"/>
      <c r="Q634" s="1434"/>
      <c r="R634" s="1435"/>
      <c r="S634" s="1436"/>
      <c r="T634" s="1434"/>
      <c r="U634" s="1435"/>
      <c r="V634" s="1436"/>
      <c r="W634" s="1430"/>
      <c r="X634" s="1431"/>
      <c r="Y634" s="1432"/>
      <c r="Z634" s="1509" t="s">
        <v>1291</v>
      </c>
      <c r="AA634" s="1510"/>
      <c r="AB634" s="1511"/>
      <c r="AC634" s="1423"/>
      <c r="AD634" s="1424"/>
      <c r="AE634" s="1425"/>
      <c r="AF634" s="1503"/>
      <c r="AG634" s="1504"/>
      <c r="AH634" s="1504"/>
      <c r="AI634" s="1504"/>
      <c r="AJ634" s="1505"/>
      <c r="AK634" s="1437"/>
      <c r="AL634" s="1438"/>
      <c r="AM634" s="1438"/>
      <c r="AN634" s="1439"/>
      <c r="AO634" s="1506"/>
      <c r="AP634" s="1507"/>
      <c r="AQ634" s="1507"/>
      <c r="AR634" s="1507"/>
      <c r="AS634" s="1508"/>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177</v>
      </c>
      <c r="BS634" s="3"/>
      <c r="BT634" s="3"/>
      <c r="BU634" s="3"/>
      <c r="BV634" s="3"/>
      <c r="BW634" s="895">
        <f>BS632*1</f>
        <v>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177</v>
      </c>
      <c r="CT634" s="57" t="s">
        <v>2054</v>
      </c>
      <c r="CU634" s="3"/>
      <c r="CV634" s="3"/>
      <c r="CW634" s="3"/>
      <c r="CX634" s="3"/>
      <c r="CY634" s="3"/>
      <c r="CZ634" s="3"/>
      <c r="DA634" s="3"/>
      <c r="DB634" s="3"/>
      <c r="DC634" s="3"/>
      <c r="DD634" s="3"/>
      <c r="DE634" s="3"/>
      <c r="DF634" s="3"/>
    </row>
    <row r="635" spans="2:157" ht="13" customHeight="1">
      <c r="B635" s="52" t="s">
        <v>470</v>
      </c>
      <c r="C635" s="1418"/>
      <c r="D635" s="1418"/>
      <c r="E635" s="1418"/>
      <c r="F635" s="1418"/>
      <c r="G635" s="1418"/>
      <c r="H635" s="1418"/>
      <c r="I635" s="1418"/>
      <c r="J635" s="1418"/>
      <c r="K635" s="1418"/>
      <c r="L635" s="1418"/>
      <c r="M635" s="1441" t="s">
        <v>1291</v>
      </c>
      <c r="N635" s="1441"/>
      <c r="O635" s="1441"/>
      <c r="P635" s="1441"/>
      <c r="Q635" s="1434"/>
      <c r="R635" s="1435"/>
      <c r="S635" s="1436"/>
      <c r="T635" s="1434"/>
      <c r="U635" s="1435"/>
      <c r="V635" s="1436"/>
      <c r="W635" s="1430"/>
      <c r="X635" s="1431"/>
      <c r="Y635" s="1432"/>
      <c r="Z635" s="1509" t="s">
        <v>1291</v>
      </c>
      <c r="AA635" s="1510"/>
      <c r="AB635" s="1511"/>
      <c r="AC635" s="1423"/>
      <c r="AD635" s="1424"/>
      <c r="AE635" s="1425"/>
      <c r="AF635" s="1503"/>
      <c r="AG635" s="1504"/>
      <c r="AH635" s="1504"/>
      <c r="AI635" s="1504"/>
      <c r="AJ635" s="1505"/>
      <c r="AK635" s="1437"/>
      <c r="AL635" s="1438"/>
      <c r="AM635" s="1438"/>
      <c r="AN635" s="1439"/>
      <c r="AO635" s="1506"/>
      <c r="AP635" s="1507"/>
      <c r="AQ635" s="1507"/>
      <c r="AR635" s="1507"/>
      <c r="AS635" s="150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7">
        <f>DX597*(BN597/$BN$632)</f>
        <v>174.15254237288136</v>
      </c>
      <c r="DY635" s="1497"/>
      <c r="DZ635" s="1497"/>
      <c r="EA635" s="1497"/>
      <c r="EB635" s="1497"/>
      <c r="EC635" s="1497" t="e">
        <f t="shared" ref="EC635:EC657" si="24">EC597*(BS597/$BS$632)</f>
        <v>#VALUE!</v>
      </c>
      <c r="ED635" s="1497"/>
      <c r="EE635" s="1497"/>
      <c r="EF635" s="1497"/>
      <c r="EG635" s="1497"/>
      <c r="EH635" s="1497" t="e">
        <f t="shared" ref="EH635:EH657" si="25">EH597*(BX597/$BX$632)</f>
        <v>#VALUE!</v>
      </c>
      <c r="EI635" s="1497"/>
      <c r="EJ635" s="1497"/>
      <c r="EK635" s="1497"/>
      <c r="EL635" s="1497"/>
      <c r="EM635" s="1497" t="e">
        <f t="shared" ref="EM635:EM657" si="26">EM597*(CC597/$CC$632)</f>
        <v>#VALUE!</v>
      </c>
      <c r="EN635" s="1497"/>
      <c r="EO635" s="1497"/>
      <c r="EP635" s="1497"/>
      <c r="EQ635" s="1497"/>
      <c r="ER635" s="1497" t="e">
        <f t="shared" ref="ER635:ER657" si="27">ER597*(CH597/$CH$632)</f>
        <v>#VALUE!</v>
      </c>
      <c r="ES635" s="1497"/>
      <c r="ET635" s="1497"/>
      <c r="EU635" s="1497"/>
      <c r="EV635" s="1497"/>
      <c r="EW635" s="1497" t="e">
        <f t="shared" ref="EW635:EW657" si="28">EW597*(CM597/$CM$632)</f>
        <v>#VALUE!</v>
      </c>
      <c r="EX635" s="1497"/>
      <c r="EY635" s="1497"/>
      <c r="EZ635" s="1497"/>
      <c r="FA635" s="1497"/>
    </row>
    <row r="636" spans="2:157" ht="13" customHeight="1">
      <c r="B636" s="52" t="s">
        <v>655</v>
      </c>
      <c r="C636" s="1418"/>
      <c r="D636" s="1418"/>
      <c r="E636" s="1418"/>
      <c r="F636" s="1418"/>
      <c r="G636" s="1418"/>
      <c r="H636" s="1418"/>
      <c r="I636" s="1418"/>
      <c r="J636" s="1418"/>
      <c r="K636" s="1418"/>
      <c r="L636" s="1418"/>
      <c r="M636" s="1441" t="s">
        <v>1291</v>
      </c>
      <c r="N636" s="1441"/>
      <c r="O636" s="1441"/>
      <c r="P636" s="1441"/>
      <c r="Q636" s="1434"/>
      <c r="R636" s="1435"/>
      <c r="S636" s="1436"/>
      <c r="T636" s="1434"/>
      <c r="U636" s="1435"/>
      <c r="V636" s="1436"/>
      <c r="W636" s="1430"/>
      <c r="X636" s="1431"/>
      <c r="Y636" s="1432"/>
      <c r="Z636" s="1509" t="s">
        <v>1291</v>
      </c>
      <c r="AA636" s="1510"/>
      <c r="AB636" s="1511"/>
      <c r="AC636" s="1423"/>
      <c r="AD636" s="1424"/>
      <c r="AE636" s="1425"/>
      <c r="AF636" s="1503"/>
      <c r="AG636" s="1504"/>
      <c r="AH636" s="1504"/>
      <c r="AI636" s="1504"/>
      <c r="AJ636" s="1505"/>
      <c r="AK636" s="1437"/>
      <c r="AL636" s="1438"/>
      <c r="AM636" s="1438"/>
      <c r="AN636" s="1439"/>
      <c r="AO636" s="1506"/>
      <c r="AP636" s="1507"/>
      <c r="AQ636" s="1507"/>
      <c r="AR636" s="1507"/>
      <c r="AS636" s="150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7">
        <f t="shared" ref="DX636:DX657" si="29">DX598*(BN598/$BN$632)</f>
        <v>295.4124293785311</v>
      </c>
      <c r="DY636" s="1497"/>
      <c r="DZ636" s="1497"/>
      <c r="EA636" s="1497"/>
      <c r="EB636" s="1497"/>
      <c r="EC636" s="1497" t="e">
        <f t="shared" si="24"/>
        <v>#VALUE!</v>
      </c>
      <c r="ED636" s="1497"/>
      <c r="EE636" s="1497"/>
      <c r="EF636" s="1497"/>
      <c r="EG636" s="1497"/>
      <c r="EH636" s="1497" t="e">
        <f t="shared" si="25"/>
        <v>#VALUE!</v>
      </c>
      <c r="EI636" s="1497"/>
      <c r="EJ636" s="1497"/>
      <c r="EK636" s="1497"/>
      <c r="EL636" s="1497"/>
      <c r="EM636" s="1497" t="e">
        <f t="shared" si="26"/>
        <v>#VALUE!</v>
      </c>
      <c r="EN636" s="1497"/>
      <c r="EO636" s="1497"/>
      <c r="EP636" s="1497"/>
      <c r="EQ636" s="1497"/>
      <c r="ER636" s="1497" t="e">
        <f t="shared" si="27"/>
        <v>#VALUE!</v>
      </c>
      <c r="ES636" s="1497"/>
      <c r="ET636" s="1497"/>
      <c r="EU636" s="1497"/>
      <c r="EV636" s="1497"/>
      <c r="EW636" s="1497" t="e">
        <f t="shared" si="28"/>
        <v>#VALUE!</v>
      </c>
      <c r="EX636" s="1497"/>
      <c r="EY636" s="1497"/>
      <c r="EZ636" s="1497"/>
      <c r="FA636" s="1497"/>
    </row>
    <row r="637" spans="2:157" ht="13" customHeight="1">
      <c r="B637" s="52" t="s">
        <v>363</v>
      </c>
      <c r="C637" s="1418"/>
      <c r="D637" s="1418"/>
      <c r="E637" s="1418"/>
      <c r="F637" s="1418"/>
      <c r="G637" s="1418"/>
      <c r="H637" s="1418"/>
      <c r="I637" s="1418"/>
      <c r="J637" s="1418"/>
      <c r="K637" s="1418"/>
      <c r="L637" s="1418"/>
      <c r="M637" s="1441" t="s">
        <v>1291</v>
      </c>
      <c r="N637" s="1441"/>
      <c r="O637" s="1441"/>
      <c r="P637" s="1441"/>
      <c r="Q637" s="1434"/>
      <c r="R637" s="1435"/>
      <c r="S637" s="1436"/>
      <c r="T637" s="1434"/>
      <c r="U637" s="1435"/>
      <c r="V637" s="1436"/>
      <c r="W637" s="1430"/>
      <c r="X637" s="1431"/>
      <c r="Y637" s="1432"/>
      <c r="Z637" s="1509" t="s">
        <v>1291</v>
      </c>
      <c r="AA637" s="1510"/>
      <c r="AB637" s="1511"/>
      <c r="AC637" s="1423"/>
      <c r="AD637" s="1424"/>
      <c r="AE637" s="1425"/>
      <c r="AF637" s="1503"/>
      <c r="AG637" s="1504"/>
      <c r="AH637" s="1504"/>
      <c r="AI637" s="1504"/>
      <c r="AJ637" s="1505"/>
      <c r="AK637" s="1437"/>
      <c r="AL637" s="1438"/>
      <c r="AM637" s="1438"/>
      <c r="AN637" s="1439"/>
      <c r="AO637" s="1506"/>
      <c r="AP637" s="1507"/>
      <c r="AQ637" s="1507"/>
      <c r="AR637" s="1507"/>
      <c r="AS637" s="1508"/>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490">
        <f>IF(J773="SRO/Studio",O773,0)</f>
        <v>2</v>
      </c>
      <c r="BO637" s="1491"/>
      <c r="BP637" s="1491"/>
      <c r="BQ637" s="1491"/>
      <c r="BR637" s="1492"/>
      <c r="BS637" s="1489">
        <f>IF(J773="1 Bedroom",O773,0)</f>
        <v>0</v>
      </c>
      <c r="BT637" s="1489"/>
      <c r="BU637" s="1489"/>
      <c r="BV637" s="1489"/>
      <c r="BW637" s="1489"/>
      <c r="BX637" s="1489">
        <f>IF(J773="2 Bedrooms",O773,0)</f>
        <v>0</v>
      </c>
      <c r="BY637" s="1489"/>
      <c r="BZ637" s="1489"/>
      <c r="CA637" s="1489"/>
      <c r="CB637" s="1489"/>
      <c r="CC637" s="1489">
        <f>IF(J773="3 Bedrooms",O773,0)</f>
        <v>0</v>
      </c>
      <c r="CD637" s="1489"/>
      <c r="CE637" s="1489"/>
      <c r="CF637" s="1489"/>
      <c r="CG637" s="1489"/>
      <c r="CH637" s="1489">
        <f>IF(J773="4 Bedrooms",O773,0)</f>
        <v>0</v>
      </c>
      <c r="CI637" s="1489"/>
      <c r="CJ637" s="1489"/>
      <c r="CK637" s="1489"/>
      <c r="CL637" s="1489"/>
      <c r="CM637" s="1489">
        <f>IF(J773="5 Bedrooms",O773,0)</f>
        <v>0</v>
      </c>
      <c r="CN637" s="1489"/>
      <c r="CO637" s="1489"/>
      <c r="CP637" s="1489"/>
      <c r="CQ637" s="1489"/>
      <c r="CR637" s="6"/>
      <c r="CS637" s="3"/>
      <c r="CT637" s="3"/>
      <c r="CU637" s="3"/>
      <c r="CV637" s="3"/>
      <c r="CW637" s="3"/>
      <c r="CX637" s="3"/>
      <c r="CY637" s="3"/>
      <c r="CZ637" s="3"/>
      <c r="DA637" s="3"/>
      <c r="DB637" s="3"/>
      <c r="DC637" s="3"/>
      <c r="DD637" s="3"/>
      <c r="DE637" s="3"/>
      <c r="DF637" s="3"/>
      <c r="DX637" s="1497">
        <f t="shared" si="29"/>
        <v>744.68361581920908</v>
      </c>
      <c r="DY637" s="1497"/>
      <c r="DZ637" s="1497"/>
      <c r="EA637" s="1497"/>
      <c r="EB637" s="1497"/>
      <c r="EC637" s="1497" t="e">
        <f t="shared" si="24"/>
        <v>#VALUE!</v>
      </c>
      <c r="ED637" s="1497"/>
      <c r="EE637" s="1497"/>
      <c r="EF637" s="1497"/>
      <c r="EG637" s="1497"/>
      <c r="EH637" s="1497" t="e">
        <f t="shared" si="25"/>
        <v>#VALUE!</v>
      </c>
      <c r="EI637" s="1497"/>
      <c r="EJ637" s="1497"/>
      <c r="EK637" s="1497"/>
      <c r="EL637" s="1497"/>
      <c r="EM637" s="1497" t="e">
        <f t="shared" si="26"/>
        <v>#VALUE!</v>
      </c>
      <c r="EN637" s="1497"/>
      <c r="EO637" s="1497"/>
      <c r="EP637" s="1497"/>
      <c r="EQ637" s="1497"/>
      <c r="ER637" s="1497" t="e">
        <f t="shared" si="27"/>
        <v>#VALUE!</v>
      </c>
      <c r="ES637" s="1497"/>
      <c r="ET637" s="1497"/>
      <c r="EU637" s="1497"/>
      <c r="EV637" s="1497"/>
      <c r="EW637" s="1497" t="e">
        <f t="shared" si="28"/>
        <v>#VALUE!</v>
      </c>
      <c r="EX637" s="1497"/>
      <c r="EY637" s="1497"/>
      <c r="EZ637" s="1497"/>
      <c r="FA637" s="1497"/>
    </row>
    <row r="638" spans="2:157" ht="13" customHeight="1">
      <c r="B638" s="52" t="s">
        <v>364</v>
      </c>
      <c r="C638" s="1418"/>
      <c r="D638" s="1418"/>
      <c r="E638" s="1418"/>
      <c r="F638" s="1418"/>
      <c r="G638" s="1418"/>
      <c r="H638" s="1418"/>
      <c r="I638" s="1418"/>
      <c r="J638" s="1418"/>
      <c r="K638" s="1418"/>
      <c r="L638" s="1418"/>
      <c r="M638" s="1441" t="s">
        <v>1291</v>
      </c>
      <c r="N638" s="1441"/>
      <c r="O638" s="1441"/>
      <c r="P638" s="1441"/>
      <c r="Q638" s="1434"/>
      <c r="R638" s="1435"/>
      <c r="S638" s="1436"/>
      <c r="T638" s="1434"/>
      <c r="U638" s="1435"/>
      <c r="V638" s="1436"/>
      <c r="W638" s="1430"/>
      <c r="X638" s="1431"/>
      <c r="Y638" s="1432"/>
      <c r="Z638" s="1509" t="s">
        <v>1291</v>
      </c>
      <c r="AA638" s="1510"/>
      <c r="AB638" s="1511"/>
      <c r="AC638" s="1423"/>
      <c r="AD638" s="1424"/>
      <c r="AE638" s="1425"/>
      <c r="AF638" s="1503"/>
      <c r="AG638" s="1504"/>
      <c r="AH638" s="1504"/>
      <c r="AI638" s="1504"/>
      <c r="AJ638" s="1505"/>
      <c r="AK638" s="1437"/>
      <c r="AL638" s="1438"/>
      <c r="AM638" s="1438"/>
      <c r="AN638" s="1439"/>
      <c r="AO638" s="1506"/>
      <c r="AP638" s="1507"/>
      <c r="AQ638" s="1507"/>
      <c r="AR638" s="1507"/>
      <c r="AS638" s="150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0">
        <f>IF(J774="SRO/Studio",O774,0)</f>
        <v>0</v>
      </c>
      <c r="BO638" s="1491"/>
      <c r="BP638" s="1491"/>
      <c r="BQ638" s="1491"/>
      <c r="BR638" s="1492"/>
      <c r="BS638" s="1489">
        <f>IF(J774="1 Bedroom",O774,0)</f>
        <v>0</v>
      </c>
      <c r="BT638" s="1489"/>
      <c r="BU638" s="1489"/>
      <c r="BV638" s="1489"/>
      <c r="BW638" s="1489"/>
      <c r="BX638" s="1489">
        <f>IF(J774="2 Bedrooms",O774,0)</f>
        <v>0</v>
      </c>
      <c r="BY638" s="1489"/>
      <c r="BZ638" s="1489"/>
      <c r="CA638" s="1489"/>
      <c r="CB638" s="1489"/>
      <c r="CC638" s="1489">
        <f>IF(J774="3 Bedrooms",O774,0)</f>
        <v>0</v>
      </c>
      <c r="CD638" s="1489"/>
      <c r="CE638" s="1489"/>
      <c r="CF638" s="1489"/>
      <c r="CG638" s="1489"/>
      <c r="CH638" s="1489">
        <f>IF(J774="4 Bedrooms",O774,0)</f>
        <v>0</v>
      </c>
      <c r="CI638" s="1489"/>
      <c r="CJ638" s="1489"/>
      <c r="CK638" s="1489"/>
      <c r="CL638" s="1489"/>
      <c r="CM638" s="1489">
        <f>IF(J774="5 Bedrooms",O774,0)</f>
        <v>0</v>
      </c>
      <c r="CN638" s="1489"/>
      <c r="CO638" s="1489"/>
      <c r="CP638" s="1489"/>
      <c r="CQ638" s="1489"/>
      <c r="CR638" s="6"/>
      <c r="CS638" s="3"/>
      <c r="CT638" s="3"/>
      <c r="CU638" s="3"/>
      <c r="CV638" s="3"/>
      <c r="CW638" s="3"/>
      <c r="CX638" s="3"/>
      <c r="CY638" s="3"/>
      <c r="CZ638" s="3"/>
      <c r="DA638" s="3"/>
      <c r="DB638" s="3"/>
      <c r="DC638" s="3"/>
      <c r="DD638" s="3"/>
      <c r="DE638" s="3"/>
      <c r="DF638" s="3"/>
      <c r="DX638" s="1497" t="e">
        <f t="shared" si="29"/>
        <v>#VALUE!</v>
      </c>
      <c r="DY638" s="1497"/>
      <c r="DZ638" s="1497"/>
      <c r="EA638" s="1497"/>
      <c r="EB638" s="1497"/>
      <c r="EC638" s="1497" t="e">
        <f t="shared" si="24"/>
        <v>#VALUE!</v>
      </c>
      <c r="ED638" s="1497"/>
      <c r="EE638" s="1497"/>
      <c r="EF638" s="1497"/>
      <c r="EG638" s="1497"/>
      <c r="EH638" s="1497" t="e">
        <f t="shared" si="25"/>
        <v>#VALUE!</v>
      </c>
      <c r="EI638" s="1497"/>
      <c r="EJ638" s="1497"/>
      <c r="EK638" s="1497"/>
      <c r="EL638" s="1497"/>
      <c r="EM638" s="1497" t="e">
        <f t="shared" si="26"/>
        <v>#VALUE!</v>
      </c>
      <c r="EN638" s="1497"/>
      <c r="EO638" s="1497"/>
      <c r="EP638" s="1497"/>
      <c r="EQ638" s="1497"/>
      <c r="ER638" s="1497" t="e">
        <f t="shared" si="27"/>
        <v>#VALUE!</v>
      </c>
      <c r="ES638" s="1497"/>
      <c r="ET638" s="1497"/>
      <c r="EU638" s="1497"/>
      <c r="EV638" s="1497"/>
      <c r="EW638" s="1497" t="e">
        <f t="shared" si="28"/>
        <v>#VALUE!</v>
      </c>
      <c r="EX638" s="1497"/>
      <c r="EY638" s="1497"/>
      <c r="EZ638" s="1497"/>
      <c r="FA638" s="1497"/>
    </row>
    <row r="639" spans="2:157" ht="13" customHeight="1">
      <c r="B639" s="1657" t="s">
        <v>128</v>
      </c>
      <c r="C639" s="1658"/>
      <c r="D639" s="1658"/>
      <c r="E639" s="1658"/>
      <c r="F639" s="1658"/>
      <c r="G639" s="1658"/>
      <c r="H639" s="1658"/>
      <c r="I639" s="1658"/>
      <c r="J639" s="1658"/>
      <c r="K639" s="1658"/>
      <c r="L639" s="1658"/>
      <c r="M639" s="1658"/>
      <c r="N639" s="1658"/>
      <c r="O639" s="1658"/>
      <c r="P639" s="1658"/>
      <c r="Q639" s="1658"/>
      <c r="R639" s="1658"/>
      <c r="S639" s="1658"/>
      <c r="T639" s="1658"/>
      <c r="U639" s="1658"/>
      <c r="V639" s="1658"/>
      <c r="W639" s="1658"/>
      <c r="X639" s="1658"/>
      <c r="Y639" s="1658"/>
      <c r="Z639" s="1658"/>
      <c r="AA639" s="1658"/>
      <c r="AB639" s="1658"/>
      <c r="AC639" s="1658"/>
      <c r="AD639" s="1658"/>
      <c r="AE639" s="1658"/>
      <c r="AF639" s="1658"/>
      <c r="AG639" s="1658"/>
      <c r="AH639" s="1658"/>
      <c r="AI639" s="1658"/>
      <c r="AJ639" s="1658"/>
      <c r="AK639" s="1658"/>
      <c r="AL639" s="1658"/>
      <c r="AM639" s="1658"/>
      <c r="AN639" s="1659"/>
      <c r="AO639" s="1663">
        <f>SUM(AO627:AR638)</f>
        <v>53988632</v>
      </c>
      <c r="AP639" s="1664"/>
      <c r="AQ639" s="1664"/>
      <c r="AR639" s="1664"/>
      <c r="AS639" s="1665"/>
      <c r="AV639" s="3"/>
      <c r="AW639" s="3"/>
      <c r="AX639" s="3"/>
      <c r="AY639" s="3"/>
      <c r="AZ639" s="34"/>
      <c r="BA639" s="34"/>
      <c r="BB639" s="34"/>
      <c r="BC639" s="34"/>
      <c r="BD639" s="34"/>
      <c r="BE639" s="34"/>
      <c r="BF639" s="34"/>
      <c r="BG639" s="34"/>
      <c r="BH639" s="34"/>
      <c r="BI639" s="34"/>
      <c r="BJ639" s="34"/>
      <c r="BK639" s="34"/>
      <c r="BL639" s="34"/>
      <c r="BM639" s="34"/>
      <c r="BN639" s="1490">
        <f>IF(J775="SRO/Studio",O775,0)</f>
        <v>0</v>
      </c>
      <c r="BO639" s="1491"/>
      <c r="BP639" s="1491"/>
      <c r="BQ639" s="1491"/>
      <c r="BR639" s="1492"/>
      <c r="BS639" s="1489">
        <f>IF(J775="1 Bedroom",O775,0)</f>
        <v>0</v>
      </c>
      <c r="BT639" s="1489"/>
      <c r="BU639" s="1489"/>
      <c r="BV639" s="1489"/>
      <c r="BW639" s="1489"/>
      <c r="BX639" s="1489">
        <f>IF(J775="2 Bedrooms",O775,0)</f>
        <v>0</v>
      </c>
      <c r="BY639" s="1489"/>
      <c r="BZ639" s="1489"/>
      <c r="CA639" s="1489"/>
      <c r="CB639" s="1489"/>
      <c r="CC639" s="1489">
        <f>IF(J775="3 Bedrooms",O775,0)</f>
        <v>0</v>
      </c>
      <c r="CD639" s="1489"/>
      <c r="CE639" s="1489"/>
      <c r="CF639" s="1489"/>
      <c r="CG639" s="1489"/>
      <c r="CH639" s="1489">
        <f>IF(J775="4 Bedrooms",O775,0)</f>
        <v>0</v>
      </c>
      <c r="CI639" s="1489"/>
      <c r="CJ639" s="1489"/>
      <c r="CK639" s="1489"/>
      <c r="CL639" s="1489"/>
      <c r="CM639" s="1489">
        <f>IF(J775="5 Bedrooms",O775,0)</f>
        <v>0</v>
      </c>
      <c r="CN639" s="1489"/>
      <c r="CO639" s="1489"/>
      <c r="CP639" s="1489"/>
      <c r="CQ639" s="1489"/>
      <c r="CR639" s="1047"/>
      <c r="CV639" s="3"/>
      <c r="CW639" s="3"/>
      <c r="CX639" s="3"/>
      <c r="CY639" s="3"/>
      <c r="CZ639" s="3"/>
      <c r="DA639" s="3"/>
      <c r="DB639" s="3"/>
      <c r="DC639" s="3"/>
      <c r="DD639" s="3"/>
      <c r="DE639" s="3"/>
      <c r="DF639" s="3"/>
      <c r="DX639" s="1497" t="e">
        <f t="shared" si="29"/>
        <v>#VALUE!</v>
      </c>
      <c r="DY639" s="1497"/>
      <c r="DZ639" s="1497"/>
      <c r="EA639" s="1497"/>
      <c r="EB639" s="1497"/>
      <c r="EC639" s="1497" t="e">
        <f t="shared" si="24"/>
        <v>#VALUE!</v>
      </c>
      <c r="ED639" s="1497"/>
      <c r="EE639" s="1497"/>
      <c r="EF639" s="1497"/>
      <c r="EG639" s="1497"/>
      <c r="EH639" s="1497" t="e">
        <f t="shared" si="25"/>
        <v>#VALUE!</v>
      </c>
      <c r="EI639" s="1497"/>
      <c r="EJ639" s="1497"/>
      <c r="EK639" s="1497"/>
      <c r="EL639" s="1497"/>
      <c r="EM639" s="1497" t="e">
        <f t="shared" si="26"/>
        <v>#VALUE!</v>
      </c>
      <c r="EN639" s="1497"/>
      <c r="EO639" s="1497"/>
      <c r="EP639" s="1497"/>
      <c r="EQ639" s="1497"/>
      <c r="ER639" s="1497" t="e">
        <f t="shared" si="27"/>
        <v>#VALUE!</v>
      </c>
      <c r="ES639" s="1497"/>
      <c r="ET639" s="1497"/>
      <c r="EU639" s="1497"/>
      <c r="EV639" s="1497"/>
      <c r="EW639" s="1497" t="e">
        <f t="shared" si="28"/>
        <v>#VALUE!</v>
      </c>
      <c r="EX639" s="1497"/>
      <c r="EY639" s="1497"/>
      <c r="EZ639" s="1497"/>
      <c r="FA639" s="1497"/>
    </row>
    <row r="640" spans="2:157" ht="13" customHeight="1">
      <c r="B640" s="1657" t="s">
        <v>268</v>
      </c>
      <c r="C640" s="1658"/>
      <c r="D640" s="1658"/>
      <c r="E640" s="1658"/>
      <c r="F640" s="1658"/>
      <c r="G640" s="1658"/>
      <c r="H640" s="1658"/>
      <c r="I640" s="1658"/>
      <c r="J640" s="1658"/>
      <c r="K640" s="1658"/>
      <c r="L640" s="1658"/>
      <c r="M640" s="1658"/>
      <c r="N640" s="1658"/>
      <c r="O640" s="1658"/>
      <c r="P640" s="1658"/>
      <c r="Q640" s="1658"/>
      <c r="R640" s="1658"/>
      <c r="S640" s="1658"/>
      <c r="T640" s="1658"/>
      <c r="U640" s="1658"/>
      <c r="V640" s="1658"/>
      <c r="W640" s="1658"/>
      <c r="X640" s="1658"/>
      <c r="Y640" s="1658"/>
      <c r="Z640" s="1658"/>
      <c r="AA640" s="1658"/>
      <c r="AB640" s="1658"/>
      <c r="AC640" s="1658"/>
      <c r="AD640" s="1658"/>
      <c r="AE640" s="1658"/>
      <c r="AF640" s="1658"/>
      <c r="AG640" s="1658"/>
      <c r="AH640" s="1658"/>
      <c r="AI640" s="1658"/>
      <c r="AJ640" s="1658"/>
      <c r="AK640" s="1658"/>
      <c r="AL640" s="1658"/>
      <c r="AM640" s="1658"/>
      <c r="AN640" s="1659"/>
      <c r="AO640" s="1506">
        <v>36524937</v>
      </c>
      <c r="AP640" s="1507"/>
      <c r="AQ640" s="1507"/>
      <c r="AR640" s="1507"/>
      <c r="AS640" s="1508"/>
      <c r="AV640" s="3"/>
      <c r="AW640" s="3"/>
      <c r="AX640" s="3"/>
      <c r="AY640" s="3"/>
      <c r="AZ640" s="34"/>
      <c r="BA640" s="34"/>
      <c r="BB640" s="34"/>
      <c r="BC640" s="34"/>
      <c r="BD640" s="34"/>
      <c r="BE640" s="34"/>
      <c r="BF640" s="34"/>
      <c r="BG640" s="34"/>
      <c r="BH640" s="34"/>
      <c r="BI640" s="34"/>
      <c r="BJ640" s="34"/>
      <c r="BK640" s="34"/>
      <c r="BL640" s="34"/>
      <c r="BM640" s="34"/>
      <c r="BN640" s="1490">
        <f>IF(J776="SRO/Studio",O776,0)</f>
        <v>0</v>
      </c>
      <c r="BO640" s="1491"/>
      <c r="BP640" s="1491"/>
      <c r="BQ640" s="1491"/>
      <c r="BR640" s="1492"/>
      <c r="BS640" s="1489">
        <f>IF(J776="1 Bedroom",O776,0)</f>
        <v>0</v>
      </c>
      <c r="BT640" s="1489"/>
      <c r="BU640" s="1489"/>
      <c r="BV640" s="1489"/>
      <c r="BW640" s="1489"/>
      <c r="BX640" s="1489">
        <f>IF(J776="2 Bedrooms",O776,0)</f>
        <v>0</v>
      </c>
      <c r="BY640" s="1489"/>
      <c r="BZ640" s="1489"/>
      <c r="CA640" s="1489"/>
      <c r="CB640" s="1489"/>
      <c r="CC640" s="1489">
        <f>IF(J776="3 Bedrooms",O776,0)</f>
        <v>0</v>
      </c>
      <c r="CD640" s="1489"/>
      <c r="CE640" s="1489"/>
      <c r="CF640" s="1489"/>
      <c r="CG640" s="1489"/>
      <c r="CH640" s="1489">
        <f>IF(J776="4 Bedrooms",O776,0)</f>
        <v>0</v>
      </c>
      <c r="CI640" s="1489"/>
      <c r="CJ640" s="1489"/>
      <c r="CK640" s="1489"/>
      <c r="CL640" s="1489"/>
      <c r="CM640" s="1489">
        <f>IF(J776="5 Bedrooms",O776,0)</f>
        <v>0</v>
      </c>
      <c r="CN640" s="1489"/>
      <c r="CO640" s="1489"/>
      <c r="CP640" s="1489"/>
      <c r="CQ640" s="1489"/>
      <c r="CV640" s="3"/>
      <c r="CW640" s="3"/>
      <c r="CX640" s="3"/>
      <c r="CY640" s="3"/>
      <c r="CZ640" s="3"/>
      <c r="DA640" s="3"/>
      <c r="DB640" s="3"/>
      <c r="DC640" s="3"/>
      <c r="DD640" s="3"/>
      <c r="DE640" s="3"/>
      <c r="DF640" s="3"/>
      <c r="DX640" s="1497" t="e">
        <f t="shared" si="29"/>
        <v>#VALUE!</v>
      </c>
      <c r="DY640" s="1497"/>
      <c r="DZ640" s="1497"/>
      <c r="EA640" s="1497"/>
      <c r="EB640" s="1497"/>
      <c r="EC640" s="1497" t="e">
        <f t="shared" si="24"/>
        <v>#VALUE!</v>
      </c>
      <c r="ED640" s="1497"/>
      <c r="EE640" s="1497"/>
      <c r="EF640" s="1497"/>
      <c r="EG640" s="1497"/>
      <c r="EH640" s="1497" t="e">
        <f t="shared" si="25"/>
        <v>#VALUE!</v>
      </c>
      <c r="EI640" s="1497"/>
      <c r="EJ640" s="1497"/>
      <c r="EK640" s="1497"/>
      <c r="EL640" s="1497"/>
      <c r="EM640" s="1497" t="e">
        <f t="shared" si="26"/>
        <v>#VALUE!</v>
      </c>
      <c r="EN640" s="1497"/>
      <c r="EO640" s="1497"/>
      <c r="EP640" s="1497"/>
      <c r="EQ640" s="1497"/>
      <c r="ER640" s="1497" t="e">
        <f t="shared" si="27"/>
        <v>#VALUE!</v>
      </c>
      <c r="ES640" s="1497"/>
      <c r="ET640" s="1497"/>
      <c r="EU640" s="1497"/>
      <c r="EV640" s="1497"/>
      <c r="EW640" s="1497" t="e">
        <f t="shared" si="28"/>
        <v>#VALUE!</v>
      </c>
      <c r="EX640" s="1497"/>
      <c r="EY640" s="1497"/>
      <c r="EZ640" s="1497"/>
      <c r="FA640" s="1497"/>
    </row>
    <row r="641" spans="1:157" ht="13" customHeight="1">
      <c r="B641" s="1763" t="s">
        <v>269</v>
      </c>
      <c r="C641" s="1711"/>
      <c r="D641" s="1711"/>
      <c r="E641" s="1711"/>
      <c r="F641" s="1711"/>
      <c r="G641" s="1711"/>
      <c r="H641" s="1711"/>
      <c r="I641" s="1711"/>
      <c r="J641" s="1711"/>
      <c r="K641" s="1711"/>
      <c r="L641" s="1711"/>
      <c r="M641" s="1711"/>
      <c r="N641" s="1711"/>
      <c r="O641" s="1711"/>
      <c r="P641" s="1711"/>
      <c r="Q641" s="1711"/>
      <c r="R641" s="1711"/>
      <c r="S641" s="1711"/>
      <c r="T641" s="1711"/>
      <c r="U641" s="1711"/>
      <c r="V641" s="1711"/>
      <c r="W641" s="1711"/>
      <c r="X641" s="1711"/>
      <c r="Y641" s="1711"/>
      <c r="Z641" s="1711"/>
      <c r="AA641" s="1711"/>
      <c r="AB641" s="1711"/>
      <c r="AC641" s="1711"/>
      <c r="AD641" s="1711"/>
      <c r="AE641" s="1711"/>
      <c r="AF641" s="1711"/>
      <c r="AG641" s="1711"/>
      <c r="AH641" s="1711"/>
      <c r="AI641" s="1711"/>
      <c r="AJ641" s="1711"/>
      <c r="AK641" s="1711"/>
      <c r="AL641" s="1711"/>
      <c r="AM641" s="1711"/>
      <c r="AN641" s="1764"/>
      <c r="AO641" s="1663">
        <f>AO639+AO640</f>
        <v>90513569</v>
      </c>
      <c r="AP641" s="1664"/>
      <c r="AQ641" s="1664"/>
      <c r="AR641" s="1664"/>
      <c r="AS641" s="1665"/>
      <c r="AV641" s="3"/>
      <c r="AW641" s="3"/>
      <c r="AX641" s="3"/>
      <c r="AY641" s="3"/>
      <c r="AZ641" s="34"/>
      <c r="BA641" s="34"/>
      <c r="BB641" s="34"/>
      <c r="BC641" s="34"/>
      <c r="BD641" s="34"/>
      <c r="BE641" s="34"/>
      <c r="BF641" s="34"/>
      <c r="BG641" s="34"/>
      <c r="BH641" s="34"/>
      <c r="BI641" s="34"/>
      <c r="BJ641" s="34"/>
      <c r="BK641" s="34"/>
      <c r="BL641" s="34"/>
      <c r="BM641" s="34"/>
      <c r="BN641" s="1500">
        <f>SUM(BN637:BR640)</f>
        <v>2</v>
      </c>
      <c r="BO641" s="1501"/>
      <c r="BP641" s="1501"/>
      <c r="BQ641" s="1501"/>
      <c r="BR641" s="1502"/>
      <c r="BS641" s="1493">
        <f>SUM(BS637:BW640)</f>
        <v>0</v>
      </c>
      <c r="BT641" s="1494"/>
      <c r="BU641" s="1494"/>
      <c r="BV641" s="1494"/>
      <c r="BW641" s="1495"/>
      <c r="BX641" s="1493">
        <f>SUM(BX637:CB640)</f>
        <v>0</v>
      </c>
      <c r="BY641" s="1494"/>
      <c r="BZ641" s="1494"/>
      <c r="CA641" s="1494"/>
      <c r="CB641" s="1495"/>
      <c r="CC641" s="1493">
        <f>SUM(CC637:CG640)</f>
        <v>0</v>
      </c>
      <c r="CD641" s="1494"/>
      <c r="CE641" s="1494"/>
      <c r="CF641" s="1494"/>
      <c r="CG641" s="1495"/>
      <c r="CH641" s="1493">
        <f>SUM(CH637:CL640)</f>
        <v>0</v>
      </c>
      <c r="CI641" s="1494"/>
      <c r="CJ641" s="1494"/>
      <c r="CK641" s="1494"/>
      <c r="CL641" s="1495"/>
      <c r="CM641" s="1493">
        <f>SUM(CM637:CQ640)</f>
        <v>0</v>
      </c>
      <c r="CN641" s="1494"/>
      <c r="CO641" s="1494"/>
      <c r="CP641" s="1494"/>
      <c r="CQ641" s="1495"/>
      <c r="CS641" s="895">
        <f>BN641+BS641+BX641+CC641+CH641+CM641</f>
        <v>2</v>
      </c>
      <c r="CT641" s="57" t="s">
        <v>2051</v>
      </c>
      <c r="CU641" s="3"/>
      <c r="CV641" s="3"/>
      <c r="CW641" s="3"/>
      <c r="CX641" s="3"/>
      <c r="CY641" s="3"/>
      <c r="CZ641" s="3"/>
      <c r="DA641" s="3"/>
      <c r="DB641" s="3"/>
      <c r="DC641" s="3"/>
      <c r="DD641" s="3"/>
      <c r="DE641" s="3"/>
      <c r="DF641" s="3"/>
      <c r="DX641" s="1497" t="e">
        <f t="shared" si="29"/>
        <v>#VALUE!</v>
      </c>
      <c r="DY641" s="1497"/>
      <c r="DZ641" s="1497"/>
      <c r="EA641" s="1497"/>
      <c r="EB641" s="1497"/>
      <c r="EC641" s="1497" t="e">
        <f t="shared" si="24"/>
        <v>#VALUE!</v>
      </c>
      <c r="ED641" s="1497"/>
      <c r="EE641" s="1497"/>
      <c r="EF641" s="1497"/>
      <c r="EG641" s="1497"/>
      <c r="EH641" s="1497" t="e">
        <f t="shared" si="25"/>
        <v>#VALUE!</v>
      </c>
      <c r="EI641" s="1497"/>
      <c r="EJ641" s="1497"/>
      <c r="EK641" s="1497"/>
      <c r="EL641" s="1497"/>
      <c r="EM641" s="1497" t="e">
        <f t="shared" si="26"/>
        <v>#VALUE!</v>
      </c>
      <c r="EN641" s="1497"/>
      <c r="EO641" s="1497"/>
      <c r="EP641" s="1497"/>
      <c r="EQ641" s="1497"/>
      <c r="ER641" s="1497" t="e">
        <f t="shared" si="27"/>
        <v>#VALUE!</v>
      </c>
      <c r="ES641" s="1497"/>
      <c r="ET641" s="1497"/>
      <c r="EU641" s="1497"/>
      <c r="EV641" s="1497"/>
      <c r="EW641" s="1497" t="e">
        <f t="shared" si="28"/>
        <v>#VALUE!</v>
      </c>
      <c r="EX641" s="1497"/>
      <c r="EY641" s="1497"/>
      <c r="EZ641" s="1497"/>
      <c r="FA641" s="1497"/>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2</v>
      </c>
      <c r="BS642" s="3"/>
      <c r="BT642" s="3"/>
      <c r="BU642" s="3"/>
      <c r="BV642" s="3"/>
      <c r="BW642" s="895">
        <f>BS641*1</f>
        <v>0</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2053</v>
      </c>
      <c r="CU642" s="3"/>
      <c r="CV642" s="3"/>
      <c r="CW642" s="3"/>
      <c r="CX642" s="3"/>
      <c r="CY642" s="3"/>
      <c r="CZ642" s="3"/>
      <c r="DA642" s="3"/>
      <c r="DB642" s="3"/>
      <c r="DC642" s="3"/>
      <c r="DD642" s="3"/>
      <c r="DE642" s="3"/>
      <c r="DF642" s="3"/>
      <c r="DX642" s="1497" t="e">
        <f t="shared" si="29"/>
        <v>#VALUE!</v>
      </c>
      <c r="DY642" s="1497"/>
      <c r="DZ642" s="1497"/>
      <c r="EA642" s="1497"/>
      <c r="EB642" s="1497"/>
      <c r="EC642" s="1497" t="e">
        <f t="shared" si="24"/>
        <v>#VALUE!</v>
      </c>
      <c r="ED642" s="1497"/>
      <c r="EE642" s="1497"/>
      <c r="EF642" s="1497"/>
      <c r="EG642" s="1497"/>
      <c r="EH642" s="1497" t="e">
        <f t="shared" si="25"/>
        <v>#VALUE!</v>
      </c>
      <c r="EI642" s="1497"/>
      <c r="EJ642" s="1497"/>
      <c r="EK642" s="1497"/>
      <c r="EL642" s="1497"/>
      <c r="EM642" s="1497" t="e">
        <f t="shared" si="26"/>
        <v>#VALUE!</v>
      </c>
      <c r="EN642" s="1497"/>
      <c r="EO642" s="1497"/>
      <c r="EP642" s="1497"/>
      <c r="EQ642" s="1497"/>
      <c r="ER642" s="1497" t="e">
        <f t="shared" si="27"/>
        <v>#VALUE!</v>
      </c>
      <c r="ES642" s="1497"/>
      <c r="ET642" s="1497"/>
      <c r="EU642" s="1497"/>
      <c r="EV642" s="1497"/>
      <c r="EW642" s="1497" t="e">
        <f t="shared" si="28"/>
        <v>#VALUE!</v>
      </c>
      <c r="EX642" s="1497"/>
      <c r="EY642" s="1497"/>
      <c r="EZ642" s="1497"/>
      <c r="FA642" s="1497"/>
    </row>
    <row r="643" spans="1:157" ht="13" customHeight="1">
      <c r="A643" s="55" t="s">
        <v>112</v>
      </c>
      <c r="B643" t="s">
        <v>472</v>
      </c>
      <c r="G643" s="1420" t="str">
        <f>C627</f>
        <v>Citi Community Capital</v>
      </c>
      <c r="H643" s="1420"/>
      <c r="I643" s="1420"/>
      <c r="J643" s="1420"/>
      <c r="K643" s="1420"/>
      <c r="L643" s="1420"/>
      <c r="M643" s="1420"/>
      <c r="N643" s="1420"/>
      <c r="O643" s="1420"/>
      <c r="P643" s="1420"/>
      <c r="Q643" s="1420"/>
      <c r="R643" s="1420"/>
      <c r="S643" s="8"/>
      <c r="T643" s="55" t="s">
        <v>113</v>
      </c>
      <c r="U643" t="s">
        <v>472</v>
      </c>
      <c r="Z643" s="1420" t="str">
        <f>C628</f>
        <v>AHSC AHD</v>
      </c>
      <c r="AA643" s="1420"/>
      <c r="AB643" s="1420"/>
      <c r="AC643" s="1420"/>
      <c r="AD643" s="1420"/>
      <c r="AE643" s="1420"/>
      <c r="AF643" s="1420"/>
      <c r="AG643" s="1420"/>
      <c r="AH643" s="1420"/>
      <c r="AI643" s="1420"/>
      <c r="AJ643" s="1420"/>
      <c r="AK643" s="142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7" t="e">
        <f t="shared" si="29"/>
        <v>#VALUE!</v>
      </c>
      <c r="DY643" s="1497"/>
      <c r="DZ643" s="1497"/>
      <c r="EA643" s="1497"/>
      <c r="EB643" s="1497"/>
      <c r="EC643" s="1497" t="e">
        <f t="shared" si="24"/>
        <v>#VALUE!</v>
      </c>
      <c r="ED643" s="1497"/>
      <c r="EE643" s="1497"/>
      <c r="EF643" s="1497"/>
      <c r="EG643" s="1497"/>
      <c r="EH643" s="1497" t="e">
        <f t="shared" si="25"/>
        <v>#VALUE!</v>
      </c>
      <c r="EI643" s="1497"/>
      <c r="EJ643" s="1497"/>
      <c r="EK643" s="1497"/>
      <c r="EL643" s="1497"/>
      <c r="EM643" s="1497" t="e">
        <f t="shared" si="26"/>
        <v>#VALUE!</v>
      </c>
      <c r="EN643" s="1497"/>
      <c r="EO643" s="1497"/>
      <c r="EP643" s="1497"/>
      <c r="EQ643" s="1497"/>
      <c r="ER643" s="1497" t="e">
        <f t="shared" si="27"/>
        <v>#VALUE!</v>
      </c>
      <c r="ES643" s="1497"/>
      <c r="ET643" s="1497"/>
      <c r="EU643" s="1497"/>
      <c r="EV643" s="1497"/>
      <c r="EW643" s="1497" t="e">
        <f t="shared" si="28"/>
        <v>#VALUE!</v>
      </c>
      <c r="EX643" s="1497"/>
      <c r="EY643" s="1497"/>
      <c r="EZ643" s="1497"/>
      <c r="FA643" s="1497"/>
    </row>
    <row r="644" spans="1:157" ht="13" customHeight="1">
      <c r="A644" s="22"/>
      <c r="B644" t="s">
        <v>85</v>
      </c>
      <c r="G644" s="1421" t="s">
        <v>2725</v>
      </c>
      <c r="H644" s="1421"/>
      <c r="I644" s="1421"/>
      <c r="J644" s="1421"/>
      <c r="K644" s="1421"/>
      <c r="L644" s="1421"/>
      <c r="M644" s="1421"/>
      <c r="N644" s="1421"/>
      <c r="O644" s="1421"/>
      <c r="P644" s="1421"/>
      <c r="Q644" s="1421"/>
      <c r="R644" s="1421"/>
      <c r="S644" s="8"/>
      <c r="T644" s="22"/>
      <c r="U644" t="s">
        <v>85</v>
      </c>
      <c r="Z644" s="1421" t="s">
        <v>2752</v>
      </c>
      <c r="AA644" s="1421"/>
      <c r="AB644" s="1421"/>
      <c r="AC644" s="1421"/>
      <c r="AD644" s="1421"/>
      <c r="AE644" s="1421"/>
      <c r="AF644" s="1421"/>
      <c r="AG644" s="1421"/>
      <c r="AH644" s="1421"/>
      <c r="AI644" s="1421"/>
      <c r="AJ644" s="1421"/>
      <c r="AK644" s="142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497" t="e">
        <f t="shared" si="29"/>
        <v>#VALUE!</v>
      </c>
      <c r="DY644" s="1497"/>
      <c r="DZ644" s="1497"/>
      <c r="EA644" s="1497"/>
      <c r="EB644" s="1497"/>
      <c r="EC644" s="1497" t="e">
        <f t="shared" si="24"/>
        <v>#VALUE!</v>
      </c>
      <c r="ED644" s="1497"/>
      <c r="EE644" s="1497"/>
      <c r="EF644" s="1497"/>
      <c r="EG644" s="1497"/>
      <c r="EH644" s="1497" t="e">
        <f t="shared" si="25"/>
        <v>#VALUE!</v>
      </c>
      <c r="EI644" s="1497"/>
      <c r="EJ644" s="1497"/>
      <c r="EK644" s="1497"/>
      <c r="EL644" s="1497"/>
      <c r="EM644" s="1497" t="e">
        <f t="shared" si="26"/>
        <v>#VALUE!</v>
      </c>
      <c r="EN644" s="1497"/>
      <c r="EO644" s="1497"/>
      <c r="EP644" s="1497"/>
      <c r="EQ644" s="1497"/>
      <c r="ER644" s="1497" t="e">
        <f t="shared" si="27"/>
        <v>#VALUE!</v>
      </c>
      <c r="ES644" s="1497"/>
      <c r="ET644" s="1497"/>
      <c r="EU644" s="1497"/>
      <c r="EV644" s="1497"/>
      <c r="EW644" s="1497" t="e">
        <f t="shared" si="28"/>
        <v>#VALUE!</v>
      </c>
      <c r="EX644" s="1497"/>
      <c r="EY644" s="1497"/>
      <c r="EZ644" s="1497"/>
      <c r="FA644" s="1497"/>
    </row>
    <row r="645" spans="1:157" ht="13" customHeight="1">
      <c r="A645" s="22"/>
      <c r="B645" t="s">
        <v>589</v>
      </c>
      <c r="G645" s="1421" t="s">
        <v>2726</v>
      </c>
      <c r="H645" s="1421"/>
      <c r="I645" s="1421"/>
      <c r="J645" s="1421"/>
      <c r="K645" s="1421"/>
      <c r="L645" s="1421"/>
      <c r="M645" s="1421"/>
      <c r="N645" s="1421"/>
      <c r="O645" s="1421"/>
      <c r="P645" s="1421"/>
      <c r="Q645" s="1421"/>
      <c r="R645" s="1421"/>
      <c r="T645" s="22"/>
      <c r="U645" t="s">
        <v>589</v>
      </c>
      <c r="Z645" s="1433" t="s">
        <v>2753</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90">
        <f t="shared" ref="BN645:BN654" si="30">IF(J787="SRO/Studio",O787,0)</f>
        <v>0</v>
      </c>
      <c r="BO645" s="1491"/>
      <c r="BP645" s="1491"/>
      <c r="BQ645" s="1491"/>
      <c r="BR645" s="1492"/>
      <c r="BS645" s="1489">
        <f t="shared" ref="BS645:BS654" si="31">IF(J787="1 Bedroom",O787,0)</f>
        <v>0</v>
      </c>
      <c r="BT645" s="1489"/>
      <c r="BU645" s="1489"/>
      <c r="BV645" s="1489"/>
      <c r="BW645" s="1489"/>
      <c r="BX645" s="1489">
        <f t="shared" ref="BX645:BX654" si="32">IF(J787="2 Bedrooms",O787,0)</f>
        <v>0</v>
      </c>
      <c r="BY645" s="1489"/>
      <c r="BZ645" s="1489"/>
      <c r="CA645" s="1489"/>
      <c r="CB645" s="1489"/>
      <c r="CC645" s="1489">
        <f t="shared" ref="CC645:CC654" si="33">IF(J787="3 Bedrooms",O787,0)</f>
        <v>0</v>
      </c>
      <c r="CD645" s="1489"/>
      <c r="CE645" s="1489"/>
      <c r="CF645" s="1489"/>
      <c r="CG645" s="1489"/>
      <c r="CH645" s="1489">
        <f t="shared" ref="CH645:CH654" si="34">IF(J787="4 Bedrooms",O787,0)</f>
        <v>0</v>
      </c>
      <c r="CI645" s="1489"/>
      <c r="CJ645" s="1489"/>
      <c r="CK645" s="1489"/>
      <c r="CL645" s="1489"/>
      <c r="CM645" s="1489">
        <f t="shared" ref="CM645:CM654" si="35">IF(J787="5 Bedrooms",O787,0)</f>
        <v>0</v>
      </c>
      <c r="CN645" s="1489"/>
      <c r="CO645" s="1489"/>
      <c r="CP645" s="1489"/>
      <c r="CQ645" s="1489"/>
      <c r="CR645" s="6"/>
      <c r="CS645" s="1490">
        <f t="shared" ref="CS645:CS654" si="36">IF(AND(BN645&gt;=1,AH787&gt;=0.1,AH787&lt;=1),O787,0)</f>
        <v>0</v>
      </c>
      <c r="CT645" s="1491"/>
      <c r="CU645" s="1491"/>
      <c r="CV645" s="1491"/>
      <c r="CW645" s="1492"/>
      <c r="CX645" s="1490">
        <f t="shared" ref="CX645:CX654" si="37">IF(AND(BS645&gt;=1,AH787&gt;=0.1,AH787&lt;=1),O787,0)</f>
        <v>0</v>
      </c>
      <c r="CY645" s="1491"/>
      <c r="CZ645" s="1491"/>
      <c r="DA645" s="1491"/>
      <c r="DB645" s="1492"/>
      <c r="DC645" s="1490">
        <f t="shared" ref="DC645:DC654" si="38">IF(AND(BX645&gt;=1,AH787&gt;=0.1,AH787&lt;=1),O787,0)</f>
        <v>0</v>
      </c>
      <c r="DD645" s="1491"/>
      <c r="DE645" s="1491"/>
      <c r="DF645" s="1491"/>
      <c r="DG645" s="1492"/>
      <c r="DH645" s="1490">
        <f t="shared" ref="DH645:DH654" si="39">IF(AND(CC645&gt;=1,AH787&gt;=0.1,AH787&lt;=1),O787,0)</f>
        <v>0</v>
      </c>
      <c r="DI645" s="1491"/>
      <c r="DJ645" s="1491"/>
      <c r="DK645" s="1491"/>
      <c r="DL645" s="1492"/>
      <c r="DM645" s="1490">
        <f t="shared" ref="DM645:DM654" si="40">IF(AND(CH645&gt;=1,AH787&gt;=0.1,AH787&lt;=1),O787,0)</f>
        <v>0</v>
      </c>
      <c r="DN645" s="1491"/>
      <c r="DO645" s="1491"/>
      <c r="DP645" s="1491"/>
      <c r="DQ645" s="1492"/>
      <c r="DR645" s="1490">
        <f t="shared" ref="DR645:DR654" si="41">IF(AND(CM645&gt;=1,AH787&gt;=0.1,AH787&lt;=1),O787,0)</f>
        <v>0</v>
      </c>
      <c r="DS645" s="1491"/>
      <c r="DT645" s="1491"/>
      <c r="DU645" s="1491"/>
      <c r="DV645" s="1492"/>
      <c r="DX645" s="1497" t="e">
        <f t="shared" si="29"/>
        <v>#VALUE!</v>
      </c>
      <c r="DY645" s="1497"/>
      <c r="DZ645" s="1497"/>
      <c r="EA645" s="1497"/>
      <c r="EB645" s="1497"/>
      <c r="EC645" s="1497" t="e">
        <f t="shared" si="24"/>
        <v>#VALUE!</v>
      </c>
      <c r="ED645" s="1497"/>
      <c r="EE645" s="1497"/>
      <c r="EF645" s="1497"/>
      <c r="EG645" s="1497"/>
      <c r="EH645" s="1497" t="e">
        <f t="shared" si="25"/>
        <v>#VALUE!</v>
      </c>
      <c r="EI645" s="1497"/>
      <c r="EJ645" s="1497"/>
      <c r="EK645" s="1497"/>
      <c r="EL645" s="1497"/>
      <c r="EM645" s="1497" t="e">
        <f t="shared" si="26"/>
        <v>#VALUE!</v>
      </c>
      <c r="EN645" s="1497"/>
      <c r="EO645" s="1497"/>
      <c r="EP645" s="1497"/>
      <c r="EQ645" s="1497"/>
      <c r="ER645" s="1497" t="e">
        <f t="shared" si="27"/>
        <v>#VALUE!</v>
      </c>
      <c r="ES645" s="1497"/>
      <c r="ET645" s="1497"/>
      <c r="EU645" s="1497"/>
      <c r="EV645" s="1497"/>
      <c r="EW645" s="1497" t="e">
        <f t="shared" si="28"/>
        <v>#VALUE!</v>
      </c>
      <c r="EX645" s="1497"/>
      <c r="EY645" s="1497"/>
      <c r="EZ645" s="1497"/>
      <c r="FA645" s="1497"/>
    </row>
    <row r="646" spans="1:157" ht="13" customHeight="1">
      <c r="A646" s="22"/>
      <c r="B646" t="s">
        <v>17</v>
      </c>
      <c r="G646" s="1421" t="s">
        <v>2727</v>
      </c>
      <c r="H646" s="1421"/>
      <c r="I646" s="1421"/>
      <c r="J646" s="1421"/>
      <c r="K646" s="1421"/>
      <c r="L646" s="1421"/>
      <c r="M646" s="1421"/>
      <c r="N646" s="1421"/>
      <c r="O646" s="1421"/>
      <c r="P646" s="1421"/>
      <c r="Q646" s="1421"/>
      <c r="R646" s="1421"/>
      <c r="S646" s="8"/>
      <c r="T646" s="22"/>
      <c r="U646" t="s">
        <v>17</v>
      </c>
      <c r="Z646" s="1433" t="s">
        <v>2754</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90">
        <f t="shared" si="30"/>
        <v>0</v>
      </c>
      <c r="BO646" s="1491"/>
      <c r="BP646" s="1491"/>
      <c r="BQ646" s="1491"/>
      <c r="BR646" s="1492"/>
      <c r="BS646" s="1489">
        <f t="shared" si="31"/>
        <v>0</v>
      </c>
      <c r="BT646" s="1489"/>
      <c r="BU646" s="1489"/>
      <c r="BV646" s="1489"/>
      <c r="BW646" s="1489"/>
      <c r="BX646" s="1489">
        <f t="shared" si="32"/>
        <v>0</v>
      </c>
      <c r="BY646" s="1489"/>
      <c r="BZ646" s="1489"/>
      <c r="CA646" s="1489"/>
      <c r="CB646" s="1489"/>
      <c r="CC646" s="1489">
        <f t="shared" si="33"/>
        <v>0</v>
      </c>
      <c r="CD646" s="1489"/>
      <c r="CE646" s="1489"/>
      <c r="CF646" s="1489"/>
      <c r="CG646" s="1489"/>
      <c r="CH646" s="1489">
        <f t="shared" si="34"/>
        <v>0</v>
      </c>
      <c r="CI646" s="1489"/>
      <c r="CJ646" s="1489"/>
      <c r="CK646" s="1489"/>
      <c r="CL646" s="1489"/>
      <c r="CM646" s="1489">
        <f t="shared" si="35"/>
        <v>0</v>
      </c>
      <c r="CN646" s="1489"/>
      <c r="CO646" s="1489"/>
      <c r="CP646" s="1489"/>
      <c r="CQ646" s="1489"/>
      <c r="CR646" s="6"/>
      <c r="CS646" s="1490">
        <f t="shared" si="36"/>
        <v>0</v>
      </c>
      <c r="CT646" s="1491"/>
      <c r="CU646" s="1491"/>
      <c r="CV646" s="1491"/>
      <c r="CW646" s="1492"/>
      <c r="CX646" s="1490">
        <f t="shared" si="37"/>
        <v>0</v>
      </c>
      <c r="CY646" s="1491"/>
      <c r="CZ646" s="1491"/>
      <c r="DA646" s="1491"/>
      <c r="DB646" s="1492"/>
      <c r="DC646" s="1490">
        <f t="shared" si="38"/>
        <v>0</v>
      </c>
      <c r="DD646" s="1491"/>
      <c r="DE646" s="1491"/>
      <c r="DF646" s="1491"/>
      <c r="DG646" s="1492"/>
      <c r="DH646" s="1490">
        <f t="shared" si="39"/>
        <v>0</v>
      </c>
      <c r="DI646" s="1491"/>
      <c r="DJ646" s="1491"/>
      <c r="DK646" s="1491"/>
      <c r="DL646" s="1492"/>
      <c r="DM646" s="1490">
        <f t="shared" si="40"/>
        <v>0</v>
      </c>
      <c r="DN646" s="1491"/>
      <c r="DO646" s="1491"/>
      <c r="DP646" s="1491"/>
      <c r="DQ646" s="1492"/>
      <c r="DR646" s="1490">
        <f t="shared" si="41"/>
        <v>0</v>
      </c>
      <c r="DS646" s="1491"/>
      <c r="DT646" s="1491"/>
      <c r="DU646" s="1491"/>
      <c r="DV646" s="1492"/>
      <c r="DX646" s="1497" t="e">
        <f t="shared" si="29"/>
        <v>#VALUE!</v>
      </c>
      <c r="DY646" s="1497"/>
      <c r="DZ646" s="1497"/>
      <c r="EA646" s="1497"/>
      <c r="EB646" s="1497"/>
      <c r="EC646" s="1497" t="e">
        <f t="shared" si="24"/>
        <v>#VALUE!</v>
      </c>
      <c r="ED646" s="1497"/>
      <c r="EE646" s="1497"/>
      <c r="EF646" s="1497"/>
      <c r="EG646" s="1497"/>
      <c r="EH646" s="1497" t="e">
        <f t="shared" si="25"/>
        <v>#VALUE!</v>
      </c>
      <c r="EI646" s="1497"/>
      <c r="EJ646" s="1497"/>
      <c r="EK646" s="1497"/>
      <c r="EL646" s="1497"/>
      <c r="EM646" s="1497" t="e">
        <f t="shared" si="26"/>
        <v>#VALUE!</v>
      </c>
      <c r="EN646" s="1497"/>
      <c r="EO646" s="1497"/>
      <c r="EP646" s="1497"/>
      <c r="EQ646" s="1497"/>
      <c r="ER646" s="1497" t="e">
        <f t="shared" si="27"/>
        <v>#VALUE!</v>
      </c>
      <c r="ES646" s="1497"/>
      <c r="ET646" s="1497"/>
      <c r="EU646" s="1497"/>
      <c r="EV646" s="1497"/>
      <c r="EW646" s="1497" t="e">
        <f t="shared" si="28"/>
        <v>#VALUE!</v>
      </c>
      <c r="EX646" s="1497"/>
      <c r="EY646" s="1497"/>
      <c r="EZ646" s="1497"/>
      <c r="FA646" s="1497"/>
    </row>
    <row r="647" spans="1:157" ht="13" customHeight="1">
      <c r="A647" s="22"/>
      <c r="B647" t="s">
        <v>317</v>
      </c>
      <c r="G647" s="1453" t="str">
        <f>G572</f>
        <v>(213) 239-1914</v>
      </c>
      <c r="H647" s="1453"/>
      <c r="I647" s="1453"/>
      <c r="J647" s="1453"/>
      <c r="K647" s="1453"/>
      <c r="L647" s="1453"/>
      <c r="O647" s="33" t="s">
        <v>207</v>
      </c>
      <c r="P647" s="1419"/>
      <c r="Q647" s="1419"/>
      <c r="R647" s="1419"/>
      <c r="S647" s="10"/>
      <c r="T647" s="22"/>
      <c r="U647" t="s">
        <v>317</v>
      </c>
      <c r="Z647" s="1452" t="s">
        <v>2755</v>
      </c>
      <c r="AA647" s="1453"/>
      <c r="AB647" s="1453"/>
      <c r="AC647" s="1453"/>
      <c r="AD647" s="1453"/>
      <c r="AE647" s="1453"/>
      <c r="AH647" s="33" t="s">
        <v>207</v>
      </c>
      <c r="AI647" s="1419"/>
      <c r="AJ647" s="1419"/>
      <c r="AK647" s="1419"/>
      <c r="AZ647" s="34"/>
      <c r="BA647" s="34"/>
      <c r="BB647" s="34"/>
      <c r="BC647" s="34"/>
      <c r="BD647" s="34"/>
      <c r="BE647" s="34"/>
      <c r="BF647" s="34"/>
      <c r="BG647" s="34"/>
      <c r="BH647" s="34"/>
      <c r="BI647" s="34"/>
      <c r="BJ647" s="34"/>
      <c r="BK647" s="34"/>
      <c r="BL647" s="34"/>
      <c r="BM647" s="34"/>
      <c r="BN647" s="1490">
        <f t="shared" si="30"/>
        <v>0</v>
      </c>
      <c r="BO647" s="1491"/>
      <c r="BP647" s="1491"/>
      <c r="BQ647" s="1491"/>
      <c r="BR647" s="1492"/>
      <c r="BS647" s="1489">
        <f t="shared" si="31"/>
        <v>0</v>
      </c>
      <c r="BT647" s="1489"/>
      <c r="BU647" s="1489"/>
      <c r="BV647" s="1489"/>
      <c r="BW647" s="1489"/>
      <c r="BX647" s="1489">
        <f t="shared" si="32"/>
        <v>0</v>
      </c>
      <c r="BY647" s="1489"/>
      <c r="BZ647" s="1489"/>
      <c r="CA647" s="1489"/>
      <c r="CB647" s="1489"/>
      <c r="CC647" s="1489">
        <f t="shared" si="33"/>
        <v>0</v>
      </c>
      <c r="CD647" s="1489"/>
      <c r="CE647" s="1489"/>
      <c r="CF647" s="1489"/>
      <c r="CG647" s="1489"/>
      <c r="CH647" s="1489">
        <f t="shared" si="34"/>
        <v>0</v>
      </c>
      <c r="CI647" s="1489"/>
      <c r="CJ647" s="1489"/>
      <c r="CK647" s="1489"/>
      <c r="CL647" s="1489"/>
      <c r="CM647" s="1489">
        <f t="shared" si="35"/>
        <v>0</v>
      </c>
      <c r="CN647" s="1489"/>
      <c r="CO647" s="1489"/>
      <c r="CP647" s="1489"/>
      <c r="CQ647" s="1489"/>
      <c r="CR647" s="6"/>
      <c r="CS647" s="1490">
        <f t="shared" si="36"/>
        <v>0</v>
      </c>
      <c r="CT647" s="1491"/>
      <c r="CU647" s="1491"/>
      <c r="CV647" s="1491"/>
      <c r="CW647" s="1492"/>
      <c r="CX647" s="1490">
        <f t="shared" si="37"/>
        <v>0</v>
      </c>
      <c r="CY647" s="1491"/>
      <c r="CZ647" s="1491"/>
      <c r="DA647" s="1491"/>
      <c r="DB647" s="1492"/>
      <c r="DC647" s="1490">
        <f t="shared" si="38"/>
        <v>0</v>
      </c>
      <c r="DD647" s="1491"/>
      <c r="DE647" s="1491"/>
      <c r="DF647" s="1491"/>
      <c r="DG647" s="1492"/>
      <c r="DH647" s="1490">
        <f t="shared" si="39"/>
        <v>0</v>
      </c>
      <c r="DI647" s="1491"/>
      <c r="DJ647" s="1491"/>
      <c r="DK647" s="1491"/>
      <c r="DL647" s="1492"/>
      <c r="DM647" s="1490">
        <f t="shared" si="40"/>
        <v>0</v>
      </c>
      <c r="DN647" s="1491"/>
      <c r="DO647" s="1491"/>
      <c r="DP647" s="1491"/>
      <c r="DQ647" s="1492"/>
      <c r="DR647" s="1490">
        <f t="shared" si="41"/>
        <v>0</v>
      </c>
      <c r="DS647" s="1491"/>
      <c r="DT647" s="1491"/>
      <c r="DU647" s="1491"/>
      <c r="DV647" s="1492"/>
      <c r="DX647" s="1497" t="e">
        <f t="shared" si="29"/>
        <v>#VALUE!</v>
      </c>
      <c r="DY647" s="1497"/>
      <c r="DZ647" s="1497"/>
      <c r="EA647" s="1497"/>
      <c r="EB647" s="1497"/>
      <c r="EC647" s="1497" t="e">
        <f t="shared" si="24"/>
        <v>#VALUE!</v>
      </c>
      <c r="ED647" s="1497"/>
      <c r="EE647" s="1497"/>
      <c r="EF647" s="1497"/>
      <c r="EG647" s="1497"/>
      <c r="EH647" s="1497" t="e">
        <f t="shared" si="25"/>
        <v>#VALUE!</v>
      </c>
      <c r="EI647" s="1497"/>
      <c r="EJ647" s="1497"/>
      <c r="EK647" s="1497"/>
      <c r="EL647" s="1497"/>
      <c r="EM647" s="1497" t="e">
        <f t="shared" si="26"/>
        <v>#VALUE!</v>
      </c>
      <c r="EN647" s="1497"/>
      <c r="EO647" s="1497"/>
      <c r="EP647" s="1497"/>
      <c r="EQ647" s="1497"/>
      <c r="ER647" s="1497" t="e">
        <f t="shared" si="27"/>
        <v>#VALUE!</v>
      </c>
      <c r="ES647" s="1497"/>
      <c r="ET647" s="1497"/>
      <c r="EU647" s="1497"/>
      <c r="EV647" s="1497"/>
      <c r="EW647" s="1497" t="e">
        <f t="shared" si="28"/>
        <v>#VALUE!</v>
      </c>
      <c r="EX647" s="1497"/>
      <c r="EY647" s="1497"/>
      <c r="EZ647" s="1497"/>
      <c r="FA647" s="1497"/>
    </row>
    <row r="648" spans="1:157" ht="13" customHeight="1">
      <c r="A648" s="22"/>
      <c r="B648" t="s">
        <v>18</v>
      </c>
      <c r="H648" s="1416" t="s">
        <v>2733</v>
      </c>
      <c r="I648" s="1421"/>
      <c r="J648" s="1421"/>
      <c r="K648" s="1421"/>
      <c r="L648" s="1421"/>
      <c r="M648" s="1421"/>
      <c r="N648" s="1421"/>
      <c r="O648" s="1421"/>
      <c r="P648" s="1421"/>
      <c r="Q648" s="1421"/>
      <c r="R648" s="1421"/>
      <c r="S648" s="8"/>
      <c r="T648" s="22"/>
      <c r="U648" t="s">
        <v>18</v>
      </c>
      <c r="AA648" s="1421" t="s">
        <v>2751</v>
      </c>
      <c r="AB648" s="1421"/>
      <c r="AC648" s="1421"/>
      <c r="AD648" s="1421"/>
      <c r="AE648" s="1421"/>
      <c r="AF648" s="1421"/>
      <c r="AG648" s="1421"/>
      <c r="AH648" s="1421"/>
      <c r="AI648" s="1421"/>
      <c r="AJ648" s="1421"/>
      <c r="AK648" s="1421"/>
      <c r="AZ648" s="34"/>
      <c r="BA648" s="34"/>
      <c r="BB648" s="34"/>
      <c r="BC648" s="34"/>
      <c r="BD648" s="34"/>
      <c r="BE648" s="34"/>
      <c r="BF648" s="34"/>
      <c r="BG648" s="34"/>
      <c r="BH648" s="34"/>
      <c r="BI648" s="34"/>
      <c r="BJ648" s="34"/>
      <c r="BK648" s="34"/>
      <c r="BL648" s="34"/>
      <c r="BM648" s="34"/>
      <c r="BN648" s="1490">
        <f t="shared" si="30"/>
        <v>0</v>
      </c>
      <c r="BO648" s="1491"/>
      <c r="BP648" s="1491"/>
      <c r="BQ648" s="1491"/>
      <c r="BR648" s="1492"/>
      <c r="BS648" s="1489">
        <f t="shared" si="31"/>
        <v>0</v>
      </c>
      <c r="BT648" s="1489"/>
      <c r="BU648" s="1489"/>
      <c r="BV648" s="1489"/>
      <c r="BW648" s="1489"/>
      <c r="BX648" s="1489">
        <f t="shared" si="32"/>
        <v>0</v>
      </c>
      <c r="BY648" s="1489"/>
      <c r="BZ648" s="1489"/>
      <c r="CA648" s="1489"/>
      <c r="CB648" s="1489"/>
      <c r="CC648" s="1489">
        <f t="shared" si="33"/>
        <v>0</v>
      </c>
      <c r="CD648" s="1489"/>
      <c r="CE648" s="1489"/>
      <c r="CF648" s="1489"/>
      <c r="CG648" s="1489"/>
      <c r="CH648" s="1489">
        <f t="shared" si="34"/>
        <v>0</v>
      </c>
      <c r="CI648" s="1489"/>
      <c r="CJ648" s="1489"/>
      <c r="CK648" s="1489"/>
      <c r="CL648" s="1489"/>
      <c r="CM648" s="1489">
        <f t="shared" si="35"/>
        <v>0</v>
      </c>
      <c r="CN648" s="1489"/>
      <c r="CO648" s="1489"/>
      <c r="CP648" s="1489"/>
      <c r="CQ648" s="1489"/>
      <c r="CR648" s="6"/>
      <c r="CS648" s="1490">
        <f t="shared" si="36"/>
        <v>0</v>
      </c>
      <c r="CT648" s="1491"/>
      <c r="CU648" s="1491"/>
      <c r="CV648" s="1491"/>
      <c r="CW648" s="1492"/>
      <c r="CX648" s="1490">
        <f t="shared" si="37"/>
        <v>0</v>
      </c>
      <c r="CY648" s="1491"/>
      <c r="CZ648" s="1491"/>
      <c r="DA648" s="1491"/>
      <c r="DB648" s="1492"/>
      <c r="DC648" s="1490">
        <f t="shared" si="38"/>
        <v>0</v>
      </c>
      <c r="DD648" s="1491"/>
      <c r="DE648" s="1491"/>
      <c r="DF648" s="1491"/>
      <c r="DG648" s="1492"/>
      <c r="DH648" s="1490">
        <f t="shared" si="39"/>
        <v>0</v>
      </c>
      <c r="DI648" s="1491"/>
      <c r="DJ648" s="1491"/>
      <c r="DK648" s="1491"/>
      <c r="DL648" s="1492"/>
      <c r="DM648" s="1490">
        <f t="shared" si="40"/>
        <v>0</v>
      </c>
      <c r="DN648" s="1491"/>
      <c r="DO648" s="1491"/>
      <c r="DP648" s="1491"/>
      <c r="DQ648" s="1492"/>
      <c r="DR648" s="1490">
        <f t="shared" si="41"/>
        <v>0</v>
      </c>
      <c r="DS648" s="1491"/>
      <c r="DT648" s="1491"/>
      <c r="DU648" s="1491"/>
      <c r="DV648" s="1492"/>
      <c r="DX648" s="1497" t="e">
        <f t="shared" si="29"/>
        <v>#VALUE!</v>
      </c>
      <c r="DY648" s="1497"/>
      <c r="DZ648" s="1497"/>
      <c r="EA648" s="1497"/>
      <c r="EB648" s="1497"/>
      <c r="EC648" s="1497" t="e">
        <f t="shared" si="24"/>
        <v>#VALUE!</v>
      </c>
      <c r="ED648" s="1497"/>
      <c r="EE648" s="1497"/>
      <c r="EF648" s="1497"/>
      <c r="EG648" s="1497"/>
      <c r="EH648" s="1497" t="e">
        <f t="shared" si="25"/>
        <v>#VALUE!</v>
      </c>
      <c r="EI648" s="1497"/>
      <c r="EJ648" s="1497"/>
      <c r="EK648" s="1497"/>
      <c r="EL648" s="1497"/>
      <c r="EM648" s="1497" t="e">
        <f t="shared" si="26"/>
        <v>#VALUE!</v>
      </c>
      <c r="EN648" s="1497"/>
      <c r="EO648" s="1497"/>
      <c r="EP648" s="1497"/>
      <c r="EQ648" s="1497"/>
      <c r="ER648" s="1497" t="e">
        <f t="shared" si="27"/>
        <v>#VALUE!</v>
      </c>
      <c r="ES648" s="1497"/>
      <c r="ET648" s="1497"/>
      <c r="EU648" s="1497"/>
      <c r="EV648" s="1497"/>
      <c r="EW648" s="1497" t="e">
        <f t="shared" si="28"/>
        <v>#VALUE!</v>
      </c>
      <c r="EX648" s="1497"/>
      <c r="EY648" s="1497"/>
      <c r="EZ648" s="1497"/>
      <c r="FA648" s="1497"/>
    </row>
    <row r="649" spans="1:157" ht="13" customHeight="1">
      <c r="A649" s="22"/>
      <c r="B649" t="s">
        <v>20</v>
      </c>
      <c r="N649" s="1429" t="s">
        <v>554</v>
      </c>
      <c r="O649" s="1429"/>
      <c r="T649" s="22"/>
      <c r="U649" t="s">
        <v>20</v>
      </c>
      <c r="AG649" s="1429" t="s">
        <v>554</v>
      </c>
      <c r="AH649" s="1429"/>
      <c r="AZ649" s="34"/>
      <c r="BA649" s="34"/>
      <c r="BB649" s="34"/>
      <c r="BC649" s="34"/>
      <c r="BD649" s="34"/>
      <c r="BE649" s="34"/>
      <c r="BF649" s="34"/>
      <c r="BG649" s="34"/>
      <c r="BH649" s="34"/>
      <c r="BI649" s="34"/>
      <c r="BJ649" s="34"/>
      <c r="BK649" s="34"/>
      <c r="BL649" s="34"/>
      <c r="BM649" s="34"/>
      <c r="BN649" s="1490">
        <f t="shared" si="30"/>
        <v>0</v>
      </c>
      <c r="BO649" s="1491"/>
      <c r="BP649" s="1491"/>
      <c r="BQ649" s="1491"/>
      <c r="BR649" s="1492"/>
      <c r="BS649" s="1489">
        <f t="shared" si="31"/>
        <v>0</v>
      </c>
      <c r="BT649" s="1489"/>
      <c r="BU649" s="1489"/>
      <c r="BV649" s="1489"/>
      <c r="BW649" s="1489"/>
      <c r="BX649" s="1489">
        <f t="shared" si="32"/>
        <v>0</v>
      </c>
      <c r="BY649" s="1489"/>
      <c r="BZ649" s="1489"/>
      <c r="CA649" s="1489"/>
      <c r="CB649" s="1489"/>
      <c r="CC649" s="1489">
        <f t="shared" si="33"/>
        <v>0</v>
      </c>
      <c r="CD649" s="1489"/>
      <c r="CE649" s="1489"/>
      <c r="CF649" s="1489"/>
      <c r="CG649" s="1489"/>
      <c r="CH649" s="1489">
        <f t="shared" si="34"/>
        <v>0</v>
      </c>
      <c r="CI649" s="1489"/>
      <c r="CJ649" s="1489"/>
      <c r="CK649" s="1489"/>
      <c r="CL649" s="1489"/>
      <c r="CM649" s="1489">
        <f t="shared" si="35"/>
        <v>0</v>
      </c>
      <c r="CN649" s="1489"/>
      <c r="CO649" s="1489"/>
      <c r="CP649" s="1489"/>
      <c r="CQ649" s="1489"/>
      <c r="CR649" s="6"/>
      <c r="CS649" s="1490">
        <f t="shared" si="36"/>
        <v>0</v>
      </c>
      <c r="CT649" s="1491"/>
      <c r="CU649" s="1491"/>
      <c r="CV649" s="1491"/>
      <c r="CW649" s="1492"/>
      <c r="CX649" s="1490">
        <f t="shared" si="37"/>
        <v>0</v>
      </c>
      <c r="CY649" s="1491"/>
      <c r="CZ649" s="1491"/>
      <c r="DA649" s="1491"/>
      <c r="DB649" s="1492"/>
      <c r="DC649" s="1490">
        <f t="shared" si="38"/>
        <v>0</v>
      </c>
      <c r="DD649" s="1491"/>
      <c r="DE649" s="1491"/>
      <c r="DF649" s="1491"/>
      <c r="DG649" s="1492"/>
      <c r="DH649" s="1490">
        <f t="shared" si="39"/>
        <v>0</v>
      </c>
      <c r="DI649" s="1491"/>
      <c r="DJ649" s="1491"/>
      <c r="DK649" s="1491"/>
      <c r="DL649" s="1492"/>
      <c r="DM649" s="1490">
        <f t="shared" si="40"/>
        <v>0</v>
      </c>
      <c r="DN649" s="1491"/>
      <c r="DO649" s="1491"/>
      <c r="DP649" s="1491"/>
      <c r="DQ649" s="1492"/>
      <c r="DR649" s="1490">
        <f t="shared" si="41"/>
        <v>0</v>
      </c>
      <c r="DS649" s="1491"/>
      <c r="DT649" s="1491"/>
      <c r="DU649" s="1491"/>
      <c r="DV649" s="1492"/>
      <c r="DX649" s="1497" t="e">
        <f t="shared" si="29"/>
        <v>#VALUE!</v>
      </c>
      <c r="DY649" s="1497"/>
      <c r="DZ649" s="1497"/>
      <c r="EA649" s="1497"/>
      <c r="EB649" s="1497"/>
      <c r="EC649" s="1497" t="e">
        <f t="shared" si="24"/>
        <v>#VALUE!</v>
      </c>
      <c r="ED649" s="1497"/>
      <c r="EE649" s="1497"/>
      <c r="EF649" s="1497"/>
      <c r="EG649" s="1497"/>
      <c r="EH649" s="1497" t="e">
        <f t="shared" si="25"/>
        <v>#VALUE!</v>
      </c>
      <c r="EI649" s="1497"/>
      <c r="EJ649" s="1497"/>
      <c r="EK649" s="1497"/>
      <c r="EL649" s="1497"/>
      <c r="EM649" s="1497" t="e">
        <f t="shared" si="26"/>
        <v>#VALUE!</v>
      </c>
      <c r="EN649" s="1497"/>
      <c r="EO649" s="1497"/>
      <c r="EP649" s="1497"/>
      <c r="EQ649" s="1497"/>
      <c r="ER649" s="1497" t="e">
        <f t="shared" si="27"/>
        <v>#VALUE!</v>
      </c>
      <c r="ES649" s="1497"/>
      <c r="ET649" s="1497"/>
      <c r="EU649" s="1497"/>
      <c r="EV649" s="1497"/>
      <c r="EW649" s="1497" t="e">
        <f t="shared" si="28"/>
        <v>#VALUE!</v>
      </c>
      <c r="EX649" s="1497"/>
      <c r="EY649" s="1497"/>
      <c r="EZ649" s="1497"/>
      <c r="FA649" s="1497"/>
    </row>
    <row r="650" spans="1:157" ht="13" customHeight="1">
      <c r="A650" s="22"/>
      <c r="T650" s="22"/>
      <c r="AZ650" s="34"/>
      <c r="BA650" s="34"/>
      <c r="BB650" s="34"/>
      <c r="BC650" s="34"/>
      <c r="BD650" s="34"/>
      <c r="BE650" s="34"/>
      <c r="BF650" s="34"/>
      <c r="BG650" s="34"/>
      <c r="BH650" s="34"/>
      <c r="BI650" s="34"/>
      <c r="BJ650" s="34"/>
      <c r="BK650" s="34"/>
      <c r="BL650" s="34"/>
      <c r="BM650" s="34"/>
      <c r="BN650" s="1490">
        <f t="shared" si="30"/>
        <v>0</v>
      </c>
      <c r="BO650" s="1491"/>
      <c r="BP650" s="1491"/>
      <c r="BQ650" s="1491"/>
      <c r="BR650" s="1492"/>
      <c r="BS650" s="1489">
        <f t="shared" si="31"/>
        <v>0</v>
      </c>
      <c r="BT650" s="1489"/>
      <c r="BU650" s="1489"/>
      <c r="BV650" s="1489"/>
      <c r="BW650" s="1489"/>
      <c r="BX650" s="1489">
        <f t="shared" si="32"/>
        <v>0</v>
      </c>
      <c r="BY650" s="1489"/>
      <c r="BZ650" s="1489"/>
      <c r="CA650" s="1489"/>
      <c r="CB650" s="1489"/>
      <c r="CC650" s="1489">
        <f t="shared" si="33"/>
        <v>0</v>
      </c>
      <c r="CD650" s="1489"/>
      <c r="CE650" s="1489"/>
      <c r="CF650" s="1489"/>
      <c r="CG650" s="1489"/>
      <c r="CH650" s="1489">
        <f t="shared" si="34"/>
        <v>0</v>
      </c>
      <c r="CI650" s="1489"/>
      <c r="CJ650" s="1489"/>
      <c r="CK650" s="1489"/>
      <c r="CL650" s="1489"/>
      <c r="CM650" s="1489">
        <f t="shared" si="35"/>
        <v>0</v>
      </c>
      <c r="CN650" s="1489"/>
      <c r="CO650" s="1489"/>
      <c r="CP650" s="1489"/>
      <c r="CQ650" s="1489"/>
      <c r="CR650" s="6"/>
      <c r="CS650" s="1490">
        <f t="shared" si="36"/>
        <v>0</v>
      </c>
      <c r="CT650" s="1491"/>
      <c r="CU650" s="1491"/>
      <c r="CV650" s="1491"/>
      <c r="CW650" s="1492"/>
      <c r="CX650" s="1490">
        <f t="shared" si="37"/>
        <v>0</v>
      </c>
      <c r="CY650" s="1491"/>
      <c r="CZ650" s="1491"/>
      <c r="DA650" s="1491"/>
      <c r="DB650" s="1492"/>
      <c r="DC650" s="1490">
        <f t="shared" si="38"/>
        <v>0</v>
      </c>
      <c r="DD650" s="1491"/>
      <c r="DE650" s="1491"/>
      <c r="DF650" s="1491"/>
      <c r="DG650" s="1492"/>
      <c r="DH650" s="1490">
        <f t="shared" si="39"/>
        <v>0</v>
      </c>
      <c r="DI650" s="1491"/>
      <c r="DJ650" s="1491"/>
      <c r="DK650" s="1491"/>
      <c r="DL650" s="1492"/>
      <c r="DM650" s="1490">
        <f t="shared" si="40"/>
        <v>0</v>
      </c>
      <c r="DN650" s="1491"/>
      <c r="DO650" s="1491"/>
      <c r="DP650" s="1491"/>
      <c r="DQ650" s="1492"/>
      <c r="DR650" s="1490">
        <f t="shared" si="41"/>
        <v>0</v>
      </c>
      <c r="DS650" s="1491"/>
      <c r="DT650" s="1491"/>
      <c r="DU650" s="1491"/>
      <c r="DV650" s="1492"/>
      <c r="DX650" s="1497" t="e">
        <f t="shared" si="29"/>
        <v>#VALUE!</v>
      </c>
      <c r="DY650" s="1497"/>
      <c r="DZ650" s="1497"/>
      <c r="EA650" s="1497"/>
      <c r="EB650" s="1497"/>
      <c r="EC650" s="1497" t="e">
        <f t="shared" si="24"/>
        <v>#VALUE!</v>
      </c>
      <c r="ED650" s="1497"/>
      <c r="EE650" s="1497"/>
      <c r="EF650" s="1497"/>
      <c r="EG650" s="1497"/>
      <c r="EH650" s="1497" t="e">
        <f t="shared" si="25"/>
        <v>#VALUE!</v>
      </c>
      <c r="EI650" s="1497"/>
      <c r="EJ650" s="1497"/>
      <c r="EK650" s="1497"/>
      <c r="EL650" s="1497"/>
      <c r="EM650" s="1497" t="e">
        <f t="shared" si="26"/>
        <v>#VALUE!</v>
      </c>
      <c r="EN650" s="1497"/>
      <c r="EO650" s="1497"/>
      <c r="EP650" s="1497"/>
      <c r="EQ650" s="1497"/>
      <c r="ER650" s="1497" t="e">
        <f t="shared" si="27"/>
        <v>#VALUE!</v>
      </c>
      <c r="ES650" s="1497"/>
      <c r="ET650" s="1497"/>
      <c r="EU650" s="1497"/>
      <c r="EV650" s="1497"/>
      <c r="EW650" s="1497" t="e">
        <f t="shared" si="28"/>
        <v>#VALUE!</v>
      </c>
      <c r="EX650" s="1497"/>
      <c r="EY650" s="1497"/>
      <c r="EZ650" s="1497"/>
      <c r="FA650" s="1497"/>
    </row>
    <row r="651" spans="1:157" ht="13" customHeight="1">
      <c r="A651" s="55" t="s">
        <v>119</v>
      </c>
      <c r="B651" t="s">
        <v>472</v>
      </c>
      <c r="G651" s="1420" t="str">
        <f>C629</f>
        <v>Deferred Developer Fees</v>
      </c>
      <c r="H651" s="1420"/>
      <c r="I651" s="1420"/>
      <c r="J651" s="1420"/>
      <c r="K651" s="1420"/>
      <c r="L651" s="1420"/>
      <c r="M651" s="1420"/>
      <c r="N651" s="1420"/>
      <c r="O651" s="1420"/>
      <c r="P651" s="1420"/>
      <c r="Q651" s="1420"/>
      <c r="R651" s="1420"/>
      <c r="T651" s="55" t="s">
        <v>590</v>
      </c>
      <c r="U651" t="s">
        <v>472</v>
      </c>
      <c r="Z651" s="1420" t="str">
        <f>C630</f>
        <v>GP- Dev Fee Contribution</v>
      </c>
      <c r="AA651" s="1420"/>
      <c r="AB651" s="1420"/>
      <c r="AC651" s="1420"/>
      <c r="AD651" s="1420"/>
      <c r="AE651" s="1420"/>
      <c r="AF651" s="1420"/>
      <c r="AG651" s="1420"/>
      <c r="AH651" s="1420"/>
      <c r="AI651" s="1420"/>
      <c r="AJ651" s="1420"/>
      <c r="AK651" s="1420"/>
      <c r="AZ651" s="34"/>
      <c r="BA651" s="34"/>
      <c r="BB651" s="34"/>
      <c r="BC651" s="34"/>
      <c r="BD651" s="34"/>
      <c r="BE651" s="34"/>
      <c r="BF651" s="34"/>
      <c r="BG651" s="34"/>
      <c r="BH651" s="34"/>
      <c r="BI651" s="34"/>
      <c r="BJ651" s="34"/>
      <c r="BK651" s="34"/>
      <c r="BL651" s="34"/>
      <c r="BM651" s="34"/>
      <c r="BN651" s="1490">
        <f t="shared" si="30"/>
        <v>0</v>
      </c>
      <c r="BO651" s="1491"/>
      <c r="BP651" s="1491"/>
      <c r="BQ651" s="1491"/>
      <c r="BR651" s="1492"/>
      <c r="BS651" s="1489">
        <f t="shared" si="31"/>
        <v>0</v>
      </c>
      <c r="BT651" s="1489"/>
      <c r="BU651" s="1489"/>
      <c r="BV651" s="1489"/>
      <c r="BW651" s="1489"/>
      <c r="BX651" s="1489">
        <f t="shared" si="32"/>
        <v>0</v>
      </c>
      <c r="BY651" s="1489"/>
      <c r="BZ651" s="1489"/>
      <c r="CA651" s="1489"/>
      <c r="CB651" s="1489"/>
      <c r="CC651" s="1489">
        <f t="shared" si="33"/>
        <v>0</v>
      </c>
      <c r="CD651" s="1489"/>
      <c r="CE651" s="1489"/>
      <c r="CF651" s="1489"/>
      <c r="CG651" s="1489"/>
      <c r="CH651" s="1489">
        <f t="shared" si="34"/>
        <v>0</v>
      </c>
      <c r="CI651" s="1489"/>
      <c r="CJ651" s="1489"/>
      <c r="CK651" s="1489"/>
      <c r="CL651" s="1489"/>
      <c r="CM651" s="1489">
        <f t="shared" si="35"/>
        <v>0</v>
      </c>
      <c r="CN651" s="1489"/>
      <c r="CO651" s="1489"/>
      <c r="CP651" s="1489"/>
      <c r="CQ651" s="1489"/>
      <c r="CR651" s="6"/>
      <c r="CS651" s="1490">
        <f t="shared" si="36"/>
        <v>0</v>
      </c>
      <c r="CT651" s="1491"/>
      <c r="CU651" s="1491"/>
      <c r="CV651" s="1491"/>
      <c r="CW651" s="1492"/>
      <c r="CX651" s="1490">
        <f t="shared" si="37"/>
        <v>0</v>
      </c>
      <c r="CY651" s="1491"/>
      <c r="CZ651" s="1491"/>
      <c r="DA651" s="1491"/>
      <c r="DB651" s="1492"/>
      <c r="DC651" s="1490">
        <f t="shared" si="38"/>
        <v>0</v>
      </c>
      <c r="DD651" s="1491"/>
      <c r="DE651" s="1491"/>
      <c r="DF651" s="1491"/>
      <c r="DG651" s="1492"/>
      <c r="DH651" s="1490">
        <f t="shared" si="39"/>
        <v>0</v>
      </c>
      <c r="DI651" s="1491"/>
      <c r="DJ651" s="1491"/>
      <c r="DK651" s="1491"/>
      <c r="DL651" s="1492"/>
      <c r="DM651" s="1490">
        <f t="shared" si="40"/>
        <v>0</v>
      </c>
      <c r="DN651" s="1491"/>
      <c r="DO651" s="1491"/>
      <c r="DP651" s="1491"/>
      <c r="DQ651" s="1492"/>
      <c r="DR651" s="1490">
        <f t="shared" si="41"/>
        <v>0</v>
      </c>
      <c r="DS651" s="1491"/>
      <c r="DT651" s="1491"/>
      <c r="DU651" s="1491"/>
      <c r="DV651" s="1492"/>
      <c r="DX651" s="1497" t="e">
        <f t="shared" si="29"/>
        <v>#VALUE!</v>
      </c>
      <c r="DY651" s="1497"/>
      <c r="DZ651" s="1497"/>
      <c r="EA651" s="1497"/>
      <c r="EB651" s="1497"/>
      <c r="EC651" s="1497" t="e">
        <f t="shared" si="24"/>
        <v>#VALUE!</v>
      </c>
      <c r="ED651" s="1497"/>
      <c r="EE651" s="1497"/>
      <c r="EF651" s="1497"/>
      <c r="EG651" s="1497"/>
      <c r="EH651" s="1497" t="e">
        <f t="shared" si="25"/>
        <v>#VALUE!</v>
      </c>
      <c r="EI651" s="1497"/>
      <c r="EJ651" s="1497"/>
      <c r="EK651" s="1497"/>
      <c r="EL651" s="1497"/>
      <c r="EM651" s="1497" t="e">
        <f t="shared" si="26"/>
        <v>#VALUE!</v>
      </c>
      <c r="EN651" s="1497"/>
      <c r="EO651" s="1497"/>
      <c r="EP651" s="1497"/>
      <c r="EQ651" s="1497"/>
      <c r="ER651" s="1497" t="e">
        <f t="shared" si="27"/>
        <v>#VALUE!</v>
      </c>
      <c r="ES651" s="1497"/>
      <c r="ET651" s="1497"/>
      <c r="EU651" s="1497"/>
      <c r="EV651" s="1497"/>
      <c r="EW651" s="1497" t="e">
        <f t="shared" si="28"/>
        <v>#VALUE!</v>
      </c>
      <c r="EX651" s="1497"/>
      <c r="EY651" s="1497"/>
      <c r="EZ651" s="1497"/>
      <c r="FA651" s="1497"/>
    </row>
    <row r="652" spans="1:157" ht="13" customHeight="1">
      <c r="A652" s="22"/>
      <c r="B652" t="s">
        <v>85</v>
      </c>
      <c r="G652" s="1416" t="s">
        <v>2738</v>
      </c>
      <c r="H652" s="1421"/>
      <c r="I652" s="1421"/>
      <c r="J652" s="1421"/>
      <c r="K652" s="1421"/>
      <c r="L652" s="1421"/>
      <c r="M652" s="1421"/>
      <c r="N652" s="1421"/>
      <c r="O652" s="1421"/>
      <c r="P652" s="1421"/>
      <c r="Q652" s="1421"/>
      <c r="R652" s="1421"/>
      <c r="T652" s="22"/>
      <c r="U652" t="s">
        <v>85</v>
      </c>
      <c r="Z652" s="1421"/>
      <c r="AA652" s="1421"/>
      <c r="AB652" s="1421"/>
      <c r="AC652" s="1421"/>
      <c r="AD652" s="1421"/>
      <c r="AE652" s="1421"/>
      <c r="AF652" s="1421"/>
      <c r="AG652" s="1421"/>
      <c r="AH652" s="1421"/>
      <c r="AI652" s="1421"/>
      <c r="AJ652" s="1421"/>
      <c r="AK652" s="1421"/>
      <c r="AZ652" s="34"/>
      <c r="BA652" s="34"/>
      <c r="BB652" s="34"/>
      <c r="BC652" s="34"/>
      <c r="BD652" s="34"/>
      <c r="BE652" s="34"/>
      <c r="BF652" s="34"/>
      <c r="BG652" s="34"/>
      <c r="BH652" s="34"/>
      <c r="BI652" s="34"/>
      <c r="BJ652" s="34"/>
      <c r="BK652" s="34"/>
      <c r="BL652" s="34"/>
      <c r="BM652" s="34"/>
      <c r="BN652" s="1490">
        <f t="shared" si="30"/>
        <v>0</v>
      </c>
      <c r="BO652" s="1491"/>
      <c r="BP652" s="1491"/>
      <c r="BQ652" s="1491"/>
      <c r="BR652" s="1492"/>
      <c r="BS652" s="1489">
        <f t="shared" si="31"/>
        <v>0</v>
      </c>
      <c r="BT652" s="1489"/>
      <c r="BU652" s="1489"/>
      <c r="BV652" s="1489"/>
      <c r="BW652" s="1489"/>
      <c r="BX652" s="1489">
        <f t="shared" si="32"/>
        <v>0</v>
      </c>
      <c r="BY652" s="1489"/>
      <c r="BZ652" s="1489"/>
      <c r="CA652" s="1489"/>
      <c r="CB652" s="1489"/>
      <c r="CC652" s="1489">
        <f t="shared" si="33"/>
        <v>0</v>
      </c>
      <c r="CD652" s="1489"/>
      <c r="CE652" s="1489"/>
      <c r="CF652" s="1489"/>
      <c r="CG652" s="1489"/>
      <c r="CH652" s="1489">
        <f t="shared" si="34"/>
        <v>0</v>
      </c>
      <c r="CI652" s="1489"/>
      <c r="CJ652" s="1489"/>
      <c r="CK652" s="1489"/>
      <c r="CL652" s="1489"/>
      <c r="CM652" s="1489">
        <f t="shared" si="35"/>
        <v>0</v>
      </c>
      <c r="CN652" s="1489"/>
      <c r="CO652" s="1489"/>
      <c r="CP652" s="1489"/>
      <c r="CQ652" s="1489"/>
      <c r="CR652" s="6"/>
      <c r="CS652" s="1490">
        <f t="shared" si="36"/>
        <v>0</v>
      </c>
      <c r="CT652" s="1491"/>
      <c r="CU652" s="1491"/>
      <c r="CV652" s="1491"/>
      <c r="CW652" s="1492"/>
      <c r="CX652" s="1490">
        <f t="shared" si="37"/>
        <v>0</v>
      </c>
      <c r="CY652" s="1491"/>
      <c r="CZ652" s="1491"/>
      <c r="DA652" s="1491"/>
      <c r="DB652" s="1492"/>
      <c r="DC652" s="1490">
        <f t="shared" si="38"/>
        <v>0</v>
      </c>
      <c r="DD652" s="1491"/>
      <c r="DE652" s="1491"/>
      <c r="DF652" s="1491"/>
      <c r="DG652" s="1492"/>
      <c r="DH652" s="1490">
        <f t="shared" si="39"/>
        <v>0</v>
      </c>
      <c r="DI652" s="1491"/>
      <c r="DJ652" s="1491"/>
      <c r="DK652" s="1491"/>
      <c r="DL652" s="1492"/>
      <c r="DM652" s="1490">
        <f t="shared" si="40"/>
        <v>0</v>
      </c>
      <c r="DN652" s="1491"/>
      <c r="DO652" s="1491"/>
      <c r="DP652" s="1491"/>
      <c r="DQ652" s="1492"/>
      <c r="DR652" s="1490">
        <f t="shared" si="41"/>
        <v>0</v>
      </c>
      <c r="DS652" s="1491"/>
      <c r="DT652" s="1491"/>
      <c r="DU652" s="1491"/>
      <c r="DV652" s="1492"/>
      <c r="DX652" s="1497" t="e">
        <f t="shared" si="29"/>
        <v>#VALUE!</v>
      </c>
      <c r="DY652" s="1497"/>
      <c r="DZ652" s="1497"/>
      <c r="EA652" s="1497"/>
      <c r="EB652" s="1497"/>
      <c r="EC652" s="1497" t="e">
        <f t="shared" si="24"/>
        <v>#VALUE!</v>
      </c>
      <c r="ED652" s="1497"/>
      <c r="EE652" s="1497"/>
      <c r="EF652" s="1497"/>
      <c r="EG652" s="1497"/>
      <c r="EH652" s="1497" t="e">
        <f t="shared" si="25"/>
        <v>#VALUE!</v>
      </c>
      <c r="EI652" s="1497"/>
      <c r="EJ652" s="1497"/>
      <c r="EK652" s="1497"/>
      <c r="EL652" s="1497"/>
      <c r="EM652" s="1497" t="e">
        <f t="shared" si="26"/>
        <v>#VALUE!</v>
      </c>
      <c r="EN652" s="1497"/>
      <c r="EO652" s="1497"/>
      <c r="EP652" s="1497"/>
      <c r="EQ652" s="1497"/>
      <c r="ER652" s="1497" t="e">
        <f t="shared" si="27"/>
        <v>#VALUE!</v>
      </c>
      <c r="ES652" s="1497"/>
      <c r="ET652" s="1497"/>
      <c r="EU652" s="1497"/>
      <c r="EV652" s="1497"/>
      <c r="EW652" s="1497" t="e">
        <f t="shared" si="28"/>
        <v>#VALUE!</v>
      </c>
      <c r="EX652" s="1497"/>
      <c r="EY652" s="1497"/>
      <c r="EZ652" s="1497"/>
      <c r="FA652" s="1497"/>
    </row>
    <row r="653" spans="1:157" ht="13" customHeight="1">
      <c r="A653" s="22"/>
      <c r="B653" t="s">
        <v>589</v>
      </c>
      <c r="G653" s="1563" t="s">
        <v>2674</v>
      </c>
      <c r="H653" s="1433"/>
      <c r="I653" s="1433"/>
      <c r="J653" s="1433"/>
      <c r="K653" s="1433"/>
      <c r="L653" s="1433"/>
      <c r="M653" s="1433"/>
      <c r="N653" s="1433"/>
      <c r="O653" s="1433"/>
      <c r="P653" s="1433"/>
      <c r="Q653" s="1433"/>
      <c r="R653" s="1433"/>
      <c r="T653" s="22"/>
      <c r="U653" t="s">
        <v>589</v>
      </c>
      <c r="Z653" s="1433"/>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90">
        <f t="shared" si="30"/>
        <v>0</v>
      </c>
      <c r="BO653" s="1491"/>
      <c r="BP653" s="1491"/>
      <c r="BQ653" s="1491"/>
      <c r="BR653" s="1492"/>
      <c r="BS653" s="1489">
        <f t="shared" si="31"/>
        <v>0</v>
      </c>
      <c r="BT653" s="1489"/>
      <c r="BU653" s="1489"/>
      <c r="BV653" s="1489"/>
      <c r="BW653" s="1489"/>
      <c r="BX653" s="1489">
        <f t="shared" si="32"/>
        <v>0</v>
      </c>
      <c r="BY653" s="1489"/>
      <c r="BZ653" s="1489"/>
      <c r="CA653" s="1489"/>
      <c r="CB653" s="1489"/>
      <c r="CC653" s="1489">
        <f t="shared" si="33"/>
        <v>0</v>
      </c>
      <c r="CD653" s="1489"/>
      <c r="CE653" s="1489"/>
      <c r="CF653" s="1489"/>
      <c r="CG653" s="1489"/>
      <c r="CH653" s="1489">
        <f t="shared" si="34"/>
        <v>0</v>
      </c>
      <c r="CI653" s="1489"/>
      <c r="CJ653" s="1489"/>
      <c r="CK653" s="1489"/>
      <c r="CL653" s="1489"/>
      <c r="CM653" s="1489">
        <f t="shared" si="35"/>
        <v>0</v>
      </c>
      <c r="CN653" s="1489"/>
      <c r="CO653" s="1489"/>
      <c r="CP653" s="1489"/>
      <c r="CQ653" s="1489"/>
      <c r="CR653" s="6"/>
      <c r="CS653" s="1490">
        <f t="shared" si="36"/>
        <v>0</v>
      </c>
      <c r="CT653" s="1491"/>
      <c r="CU653" s="1491"/>
      <c r="CV653" s="1491"/>
      <c r="CW653" s="1492"/>
      <c r="CX653" s="1490">
        <f t="shared" si="37"/>
        <v>0</v>
      </c>
      <c r="CY653" s="1491"/>
      <c r="CZ653" s="1491"/>
      <c r="DA653" s="1491"/>
      <c r="DB653" s="1492"/>
      <c r="DC653" s="1490">
        <f t="shared" si="38"/>
        <v>0</v>
      </c>
      <c r="DD653" s="1491"/>
      <c r="DE653" s="1491"/>
      <c r="DF653" s="1491"/>
      <c r="DG653" s="1492"/>
      <c r="DH653" s="1490">
        <f t="shared" si="39"/>
        <v>0</v>
      </c>
      <c r="DI653" s="1491"/>
      <c r="DJ653" s="1491"/>
      <c r="DK653" s="1491"/>
      <c r="DL653" s="1492"/>
      <c r="DM653" s="1490">
        <f t="shared" si="40"/>
        <v>0</v>
      </c>
      <c r="DN653" s="1491"/>
      <c r="DO653" s="1491"/>
      <c r="DP653" s="1491"/>
      <c r="DQ653" s="1492"/>
      <c r="DR653" s="1490">
        <f t="shared" si="41"/>
        <v>0</v>
      </c>
      <c r="DS653" s="1491"/>
      <c r="DT653" s="1491"/>
      <c r="DU653" s="1491"/>
      <c r="DV653" s="1492"/>
      <c r="DX653" s="1497" t="e">
        <f t="shared" si="29"/>
        <v>#VALUE!</v>
      </c>
      <c r="DY653" s="1497"/>
      <c r="DZ653" s="1497"/>
      <c r="EA653" s="1497"/>
      <c r="EB653" s="1497"/>
      <c r="EC653" s="1497" t="e">
        <f t="shared" si="24"/>
        <v>#VALUE!</v>
      </c>
      <c r="ED653" s="1497"/>
      <c r="EE653" s="1497"/>
      <c r="EF653" s="1497"/>
      <c r="EG653" s="1497"/>
      <c r="EH653" s="1497" t="e">
        <f t="shared" si="25"/>
        <v>#VALUE!</v>
      </c>
      <c r="EI653" s="1497"/>
      <c r="EJ653" s="1497"/>
      <c r="EK653" s="1497"/>
      <c r="EL653" s="1497"/>
      <c r="EM653" s="1497" t="e">
        <f t="shared" si="26"/>
        <v>#VALUE!</v>
      </c>
      <c r="EN653" s="1497"/>
      <c r="EO653" s="1497"/>
      <c r="EP653" s="1497"/>
      <c r="EQ653" s="1497"/>
      <c r="ER653" s="1497" t="e">
        <f t="shared" si="27"/>
        <v>#VALUE!</v>
      </c>
      <c r="ES653" s="1497"/>
      <c r="ET653" s="1497"/>
      <c r="EU653" s="1497"/>
      <c r="EV653" s="1497"/>
      <c r="EW653" s="1497" t="e">
        <f t="shared" si="28"/>
        <v>#VALUE!</v>
      </c>
      <c r="EX653" s="1497"/>
      <c r="EY653" s="1497"/>
      <c r="EZ653" s="1497"/>
      <c r="FA653" s="1497"/>
    </row>
    <row r="654" spans="1:157" ht="13" customHeight="1">
      <c r="A654" s="22"/>
      <c r="B654" t="s">
        <v>17</v>
      </c>
      <c r="G654" s="1722" t="s">
        <v>2675</v>
      </c>
      <c r="H654" s="1433"/>
      <c r="I654" s="1433"/>
      <c r="J654" s="1433"/>
      <c r="K654" s="1433"/>
      <c r="L654" s="1433"/>
      <c r="M654" s="1433"/>
      <c r="N654" s="1433"/>
      <c r="O654" s="1433"/>
      <c r="P654" s="1433"/>
      <c r="Q654" s="1433"/>
      <c r="R654" s="1433"/>
      <c r="T654" s="22"/>
      <c r="U654" t="s">
        <v>17</v>
      </c>
      <c r="Z654" s="1433"/>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90">
        <f t="shared" si="30"/>
        <v>0</v>
      </c>
      <c r="BO654" s="1491"/>
      <c r="BP654" s="1491"/>
      <c r="BQ654" s="1491"/>
      <c r="BR654" s="1492"/>
      <c r="BS654" s="1489">
        <f t="shared" si="31"/>
        <v>0</v>
      </c>
      <c r="BT654" s="1489"/>
      <c r="BU654" s="1489"/>
      <c r="BV654" s="1489"/>
      <c r="BW654" s="1489"/>
      <c r="BX654" s="1489">
        <f t="shared" si="32"/>
        <v>0</v>
      </c>
      <c r="BY654" s="1489"/>
      <c r="BZ654" s="1489"/>
      <c r="CA654" s="1489"/>
      <c r="CB654" s="1489"/>
      <c r="CC654" s="1489">
        <f t="shared" si="33"/>
        <v>0</v>
      </c>
      <c r="CD654" s="1489"/>
      <c r="CE654" s="1489"/>
      <c r="CF654" s="1489"/>
      <c r="CG654" s="1489"/>
      <c r="CH654" s="1489">
        <f t="shared" si="34"/>
        <v>0</v>
      </c>
      <c r="CI654" s="1489"/>
      <c r="CJ654" s="1489"/>
      <c r="CK654" s="1489"/>
      <c r="CL654" s="1489"/>
      <c r="CM654" s="1489">
        <f t="shared" si="35"/>
        <v>0</v>
      </c>
      <c r="CN654" s="1489"/>
      <c r="CO654" s="1489"/>
      <c r="CP654" s="1489"/>
      <c r="CQ654" s="1489"/>
      <c r="CR654" s="6"/>
      <c r="CS654" s="1490">
        <f t="shared" si="36"/>
        <v>0</v>
      </c>
      <c r="CT654" s="1491"/>
      <c r="CU654" s="1491"/>
      <c r="CV654" s="1491"/>
      <c r="CW654" s="1492"/>
      <c r="CX654" s="1490">
        <f t="shared" si="37"/>
        <v>0</v>
      </c>
      <c r="CY654" s="1491"/>
      <c r="CZ654" s="1491"/>
      <c r="DA654" s="1491"/>
      <c r="DB654" s="1492"/>
      <c r="DC654" s="1490">
        <f t="shared" si="38"/>
        <v>0</v>
      </c>
      <c r="DD654" s="1491"/>
      <c r="DE654" s="1491"/>
      <c r="DF654" s="1491"/>
      <c r="DG654" s="1492"/>
      <c r="DH654" s="1490">
        <f t="shared" si="39"/>
        <v>0</v>
      </c>
      <c r="DI654" s="1491"/>
      <c r="DJ654" s="1491"/>
      <c r="DK654" s="1491"/>
      <c r="DL654" s="1492"/>
      <c r="DM654" s="1490">
        <f t="shared" si="40"/>
        <v>0</v>
      </c>
      <c r="DN654" s="1491"/>
      <c r="DO654" s="1491"/>
      <c r="DP654" s="1491"/>
      <c r="DQ654" s="1492"/>
      <c r="DR654" s="1490">
        <f t="shared" si="41"/>
        <v>0</v>
      </c>
      <c r="DS654" s="1491"/>
      <c r="DT654" s="1491"/>
      <c r="DU654" s="1491"/>
      <c r="DV654" s="1492"/>
      <c r="DX654" s="1497" t="e">
        <f t="shared" si="29"/>
        <v>#VALUE!</v>
      </c>
      <c r="DY654" s="1497"/>
      <c r="DZ654" s="1497"/>
      <c r="EA654" s="1497"/>
      <c r="EB654" s="1497"/>
      <c r="EC654" s="1497" t="e">
        <f t="shared" si="24"/>
        <v>#VALUE!</v>
      </c>
      <c r="ED654" s="1497"/>
      <c r="EE654" s="1497"/>
      <c r="EF654" s="1497"/>
      <c r="EG654" s="1497"/>
      <c r="EH654" s="1497" t="e">
        <f t="shared" si="25"/>
        <v>#VALUE!</v>
      </c>
      <c r="EI654" s="1497"/>
      <c r="EJ654" s="1497"/>
      <c r="EK654" s="1497"/>
      <c r="EL654" s="1497"/>
      <c r="EM654" s="1497" t="e">
        <f t="shared" si="26"/>
        <v>#VALUE!</v>
      </c>
      <c r="EN654" s="1497"/>
      <c r="EO654" s="1497"/>
      <c r="EP654" s="1497"/>
      <c r="EQ654" s="1497"/>
      <c r="ER654" s="1497" t="e">
        <f t="shared" si="27"/>
        <v>#VALUE!</v>
      </c>
      <c r="ES654" s="1497"/>
      <c r="ET654" s="1497"/>
      <c r="EU654" s="1497"/>
      <c r="EV654" s="1497"/>
      <c r="EW654" s="1497" t="e">
        <f t="shared" si="28"/>
        <v>#VALUE!</v>
      </c>
      <c r="EX654" s="1497"/>
      <c r="EY654" s="1497"/>
      <c r="EZ654" s="1497"/>
      <c r="FA654" s="1497"/>
    </row>
    <row r="655" spans="1:157" ht="13" customHeight="1">
      <c r="A655" s="22"/>
      <c r="B655" t="s">
        <v>317</v>
      </c>
      <c r="G655" s="1452" t="s">
        <v>2737</v>
      </c>
      <c r="H655" s="1453"/>
      <c r="I655" s="1453"/>
      <c r="J655" s="1453"/>
      <c r="K655" s="1453"/>
      <c r="L655" s="1453"/>
      <c r="O655" s="33" t="s">
        <v>207</v>
      </c>
      <c r="P655" s="1419"/>
      <c r="Q655" s="1419"/>
      <c r="R655" s="1419"/>
      <c r="T655" s="22"/>
      <c r="U655" t="s">
        <v>317</v>
      </c>
      <c r="Z655" s="1453"/>
      <c r="AA655" s="1453"/>
      <c r="AB655" s="1453"/>
      <c r="AC655" s="1453"/>
      <c r="AD655" s="1453"/>
      <c r="AE655" s="1453"/>
      <c r="AH655" s="33" t="s">
        <v>207</v>
      </c>
      <c r="AI655" s="1419"/>
      <c r="AJ655" s="1419"/>
      <c r="AK655" s="1419"/>
      <c r="AZ655" s="34"/>
      <c r="BA655" s="34"/>
      <c r="BB655" s="34"/>
      <c r="BC655" s="34"/>
      <c r="BD655" s="34"/>
      <c r="BE655" s="34"/>
      <c r="BF655" s="34"/>
      <c r="BG655" s="34"/>
      <c r="BH655" s="34"/>
      <c r="BI655" s="34"/>
      <c r="BJ655" s="34"/>
      <c r="BK655" s="34"/>
      <c r="BL655" s="34"/>
      <c r="BM655" s="34"/>
      <c r="BN655" s="1500">
        <f>SUM(BN645:BR654)</f>
        <v>0</v>
      </c>
      <c r="BO655" s="1501"/>
      <c r="BP655" s="1501"/>
      <c r="BQ655" s="1501"/>
      <c r="BR655" s="1502"/>
      <c r="BS655" s="1493">
        <f>SUM(BS645:BW654)</f>
        <v>0</v>
      </c>
      <c r="BT655" s="1494"/>
      <c r="BU655" s="1494"/>
      <c r="BV655" s="1494"/>
      <c r="BW655" s="1495"/>
      <c r="BX655" s="1493">
        <f>SUM(BX645:CB654)</f>
        <v>0</v>
      </c>
      <c r="BY655" s="1494"/>
      <c r="BZ655" s="1494"/>
      <c r="CA655" s="1494"/>
      <c r="CB655" s="1495"/>
      <c r="CC655" s="1493">
        <f>SUM(CC645:CG654)</f>
        <v>0</v>
      </c>
      <c r="CD655" s="1494"/>
      <c r="CE655" s="1494"/>
      <c r="CF655" s="1494"/>
      <c r="CG655" s="1495"/>
      <c r="CH655" s="1493">
        <f>SUM(CH645:CL654)</f>
        <v>0</v>
      </c>
      <c r="CI655" s="1494"/>
      <c r="CJ655" s="1494"/>
      <c r="CK655" s="1494"/>
      <c r="CL655" s="1495"/>
      <c r="CM655" s="1493">
        <f>SUM(CM645:CQ654)</f>
        <v>0</v>
      </c>
      <c r="CN655" s="1494"/>
      <c r="CO655" s="1494"/>
      <c r="CP655" s="1494"/>
      <c r="CQ655" s="1495"/>
      <c r="CR655" s="1047"/>
      <c r="CS655" s="1496">
        <f>SUM(CS645:CW654)</f>
        <v>0</v>
      </c>
      <c r="CT655" s="1496"/>
      <c r="CU655" s="1496"/>
      <c r="CV655" s="1496"/>
      <c r="CW655" s="1496"/>
      <c r="CX655" s="1496">
        <f>SUM(CX645:DB654)</f>
        <v>0</v>
      </c>
      <c r="CY655" s="1496"/>
      <c r="CZ655" s="1496"/>
      <c r="DA655" s="1496"/>
      <c r="DB655" s="1496"/>
      <c r="DC655" s="1496">
        <f>SUM(DC645:DG654)</f>
        <v>0</v>
      </c>
      <c r="DD655" s="1496"/>
      <c r="DE655" s="1496"/>
      <c r="DF655" s="1496"/>
      <c r="DG655" s="1496"/>
      <c r="DH655" s="1496">
        <f>SUM(DH645:DL654)</f>
        <v>0</v>
      </c>
      <c r="DI655" s="1496"/>
      <c r="DJ655" s="1496"/>
      <c r="DK655" s="1496"/>
      <c r="DL655" s="1496"/>
      <c r="DM655" s="1496">
        <f>SUM(DM645:DQ654)</f>
        <v>0</v>
      </c>
      <c r="DN655" s="1496"/>
      <c r="DO655" s="1496"/>
      <c r="DP655" s="1496"/>
      <c r="DQ655" s="1496"/>
      <c r="DR655" s="1496">
        <f>SUM(DR645:DV654)</f>
        <v>0</v>
      </c>
      <c r="DS655" s="1496"/>
      <c r="DT655" s="1496"/>
      <c r="DU655" s="1496"/>
      <c r="DV655" s="1496"/>
      <c r="DX655" s="1497" t="e">
        <f t="shared" si="29"/>
        <v>#VALUE!</v>
      </c>
      <c r="DY655" s="1497"/>
      <c r="DZ655" s="1497"/>
      <c r="EA655" s="1497"/>
      <c r="EB655" s="1497"/>
      <c r="EC655" s="1497" t="e">
        <f t="shared" si="24"/>
        <v>#VALUE!</v>
      </c>
      <c r="ED655" s="1497"/>
      <c r="EE655" s="1497"/>
      <c r="EF655" s="1497"/>
      <c r="EG655" s="1497"/>
      <c r="EH655" s="1497" t="e">
        <f t="shared" si="25"/>
        <v>#VALUE!</v>
      </c>
      <c r="EI655" s="1497"/>
      <c r="EJ655" s="1497"/>
      <c r="EK655" s="1497"/>
      <c r="EL655" s="1497"/>
      <c r="EM655" s="1497" t="e">
        <f t="shared" si="26"/>
        <v>#VALUE!</v>
      </c>
      <c r="EN655" s="1497"/>
      <c r="EO655" s="1497"/>
      <c r="EP655" s="1497"/>
      <c r="EQ655" s="1497"/>
      <c r="ER655" s="1497" t="e">
        <f t="shared" si="27"/>
        <v>#VALUE!</v>
      </c>
      <c r="ES655" s="1497"/>
      <c r="ET655" s="1497"/>
      <c r="EU655" s="1497"/>
      <c r="EV655" s="1497"/>
      <c r="EW655" s="1497" t="e">
        <f t="shared" si="28"/>
        <v>#VALUE!</v>
      </c>
      <c r="EX655" s="1497"/>
      <c r="EY655" s="1497"/>
      <c r="EZ655" s="1497"/>
      <c r="FA655" s="1497"/>
    </row>
    <row r="656" spans="1:157" ht="13" customHeight="1">
      <c r="A656" s="22"/>
      <c r="B656" t="s">
        <v>18</v>
      </c>
      <c r="H656" s="1416" t="s">
        <v>2723</v>
      </c>
      <c r="I656" s="1421"/>
      <c r="J656" s="1421"/>
      <c r="K656" s="1421"/>
      <c r="L656" s="1421"/>
      <c r="M656" s="1421"/>
      <c r="N656" s="1421"/>
      <c r="O656" s="1421"/>
      <c r="P656" s="1421"/>
      <c r="Q656" s="1421"/>
      <c r="R656" s="1421"/>
      <c r="T656" s="22"/>
      <c r="U656" t="s">
        <v>18</v>
      </c>
      <c r="AA656" s="1421"/>
      <c r="AB656" s="1421"/>
      <c r="AC656" s="1421"/>
      <c r="AD656" s="1421"/>
      <c r="AE656" s="1421"/>
      <c r="AF656" s="1421"/>
      <c r="AG656" s="1421"/>
      <c r="AH656" s="1421"/>
      <c r="AI656" s="1421"/>
      <c r="AJ656" s="1421"/>
      <c r="AK656" s="142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7" t="e">
        <f t="shared" si="29"/>
        <v>#VALUE!</v>
      </c>
      <c r="DY656" s="1497"/>
      <c r="DZ656" s="1497"/>
      <c r="EA656" s="1497"/>
      <c r="EB656" s="1497"/>
      <c r="EC656" s="1497" t="e">
        <f t="shared" si="24"/>
        <v>#VALUE!</v>
      </c>
      <c r="ED656" s="1497"/>
      <c r="EE656" s="1497"/>
      <c r="EF656" s="1497"/>
      <c r="EG656" s="1497"/>
      <c r="EH656" s="1497" t="e">
        <f t="shared" si="25"/>
        <v>#VALUE!</v>
      </c>
      <c r="EI656" s="1497"/>
      <c r="EJ656" s="1497"/>
      <c r="EK656" s="1497"/>
      <c r="EL656" s="1497"/>
      <c r="EM656" s="1497" t="e">
        <f t="shared" si="26"/>
        <v>#VALUE!</v>
      </c>
      <c r="EN656" s="1497"/>
      <c r="EO656" s="1497"/>
      <c r="EP656" s="1497"/>
      <c r="EQ656" s="1497"/>
      <c r="ER656" s="1497" t="e">
        <f t="shared" si="27"/>
        <v>#VALUE!</v>
      </c>
      <c r="ES656" s="1497"/>
      <c r="ET656" s="1497"/>
      <c r="EU656" s="1497"/>
      <c r="EV656" s="1497"/>
      <c r="EW656" s="1497" t="e">
        <f t="shared" si="28"/>
        <v>#VALUE!</v>
      </c>
      <c r="EX656" s="1497"/>
      <c r="EY656" s="1497"/>
      <c r="EZ656" s="1497"/>
      <c r="FA656" s="1497"/>
    </row>
    <row r="657" spans="1:157" ht="13" customHeight="1">
      <c r="A657" s="22"/>
      <c r="B657" t="s">
        <v>20</v>
      </c>
      <c r="N657" s="1429" t="s">
        <v>554</v>
      </c>
      <c r="O657" s="1429"/>
      <c r="T657" s="22"/>
      <c r="U657" t="s">
        <v>20</v>
      </c>
      <c r="AG657" s="1429" t="s">
        <v>678</v>
      </c>
      <c r="AH657" s="1429"/>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497">
        <f>SUM(CS655:DV655)</f>
        <v>0</v>
      </c>
      <c r="DS657" s="1497"/>
      <c r="DT657" s="1497"/>
      <c r="DU657" s="1497"/>
      <c r="DV657" s="1497"/>
      <c r="DX657" s="1497" t="e">
        <f t="shared" si="29"/>
        <v>#VALUE!</v>
      </c>
      <c r="DY657" s="1497"/>
      <c r="DZ657" s="1497"/>
      <c r="EA657" s="1497"/>
      <c r="EB657" s="1497"/>
      <c r="EC657" s="1497" t="e">
        <f t="shared" si="24"/>
        <v>#VALUE!</v>
      </c>
      <c r="ED657" s="1497"/>
      <c r="EE657" s="1497"/>
      <c r="EF657" s="1497"/>
      <c r="EG657" s="1497"/>
      <c r="EH657" s="1497" t="e">
        <f t="shared" si="25"/>
        <v>#VALUE!</v>
      </c>
      <c r="EI657" s="1497"/>
      <c r="EJ657" s="1497"/>
      <c r="EK657" s="1497"/>
      <c r="EL657" s="1497"/>
      <c r="EM657" s="1497" t="e">
        <f t="shared" si="26"/>
        <v>#VALUE!</v>
      </c>
      <c r="EN657" s="1497"/>
      <c r="EO657" s="1497"/>
      <c r="EP657" s="1497"/>
      <c r="EQ657" s="1497"/>
      <c r="ER657" s="1497" t="e">
        <f t="shared" si="27"/>
        <v>#VALUE!</v>
      </c>
      <c r="ES657" s="1497"/>
      <c r="ET657" s="1497"/>
      <c r="EU657" s="1497"/>
      <c r="EV657" s="1497"/>
      <c r="EW657" s="1497" t="e">
        <f t="shared" si="28"/>
        <v>#VALUE!</v>
      </c>
      <c r="EX657" s="1497"/>
      <c r="EY657" s="1497"/>
      <c r="EZ657" s="1497"/>
      <c r="FA657" s="1497"/>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497" t="e">
        <f t="shared" ref="DX658:DX667" si="42">DX620*(BN620/$BN$632)</f>
        <v>#VALUE!</v>
      </c>
      <c r="DY658" s="1497"/>
      <c r="DZ658" s="1497"/>
      <c r="EA658" s="1497"/>
      <c r="EB658" s="1497"/>
      <c r="EC658" s="1497" t="e">
        <f t="shared" ref="EC658:EC667" si="43">EC620*(BS620/$BS$632)</f>
        <v>#VALUE!</v>
      </c>
      <c r="ED658" s="1497"/>
      <c r="EE658" s="1497"/>
      <c r="EF658" s="1497"/>
      <c r="EG658" s="1497"/>
      <c r="EH658" s="1497" t="e">
        <f t="shared" ref="EH658:EH667" si="44">EH620*(BX620/$BX$632)</f>
        <v>#VALUE!</v>
      </c>
      <c r="EI658" s="1497"/>
      <c r="EJ658" s="1497"/>
      <c r="EK658" s="1497"/>
      <c r="EL658" s="1497"/>
      <c r="EM658" s="1497" t="e">
        <f t="shared" ref="EM658:EM667" si="45">EM620*(CC620/$CC$632)</f>
        <v>#VALUE!</v>
      </c>
      <c r="EN658" s="1497"/>
      <c r="EO658" s="1497"/>
      <c r="EP658" s="1497"/>
      <c r="EQ658" s="1497"/>
      <c r="ER658" s="1497" t="e">
        <f t="shared" ref="ER658:ER667" si="46">ER620*(CH620/$CH$632)</f>
        <v>#VALUE!</v>
      </c>
      <c r="ES658" s="1497"/>
      <c r="ET658" s="1497"/>
      <c r="EU658" s="1497"/>
      <c r="EV658" s="1497"/>
      <c r="EW658" s="1497" t="e">
        <f t="shared" ref="EW658:EW667" si="47">EW620*(CM620/$CM$632)</f>
        <v>#VALUE!</v>
      </c>
      <c r="EX658" s="1497"/>
      <c r="EY658" s="1497"/>
      <c r="EZ658" s="1497"/>
      <c r="FA658" s="1497"/>
    </row>
    <row r="659" spans="1:157" ht="13" customHeight="1">
      <c r="A659" s="55" t="s">
        <v>773</v>
      </c>
      <c r="B659" t="s">
        <v>472</v>
      </c>
      <c r="G659" s="1420">
        <f>C631</f>
        <v>0</v>
      </c>
      <c r="H659" s="1420"/>
      <c r="I659" s="1420"/>
      <c r="J659" s="1420"/>
      <c r="K659" s="1420"/>
      <c r="L659" s="1420"/>
      <c r="M659" s="1420"/>
      <c r="N659" s="1420"/>
      <c r="O659" s="1420"/>
      <c r="P659" s="1420"/>
      <c r="Q659" s="1420"/>
      <c r="R659" s="1420"/>
      <c r="T659" s="55" t="s">
        <v>593</v>
      </c>
      <c r="U659" t="s">
        <v>472</v>
      </c>
      <c r="Z659" s="1420">
        <f>C632</f>
        <v>0</v>
      </c>
      <c r="AA659" s="1420"/>
      <c r="AB659" s="1420"/>
      <c r="AC659" s="1420"/>
      <c r="AD659" s="1420"/>
      <c r="AE659" s="1420"/>
      <c r="AF659" s="1420"/>
      <c r="AG659" s="1420"/>
      <c r="AH659" s="1420"/>
      <c r="AI659" s="1420"/>
      <c r="AJ659" s="1420"/>
      <c r="AK659" s="142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7" t="e">
        <f t="shared" si="42"/>
        <v>#VALUE!</v>
      </c>
      <c r="DY659" s="1497"/>
      <c r="DZ659" s="1497"/>
      <c r="EA659" s="1497"/>
      <c r="EB659" s="1497"/>
      <c r="EC659" s="1497" t="e">
        <f t="shared" si="43"/>
        <v>#VALUE!</v>
      </c>
      <c r="ED659" s="1497"/>
      <c r="EE659" s="1497"/>
      <c r="EF659" s="1497"/>
      <c r="EG659" s="1497"/>
      <c r="EH659" s="1497" t="e">
        <f t="shared" si="44"/>
        <v>#VALUE!</v>
      </c>
      <c r="EI659" s="1497"/>
      <c r="EJ659" s="1497"/>
      <c r="EK659" s="1497"/>
      <c r="EL659" s="1497"/>
      <c r="EM659" s="1497" t="e">
        <f t="shared" si="45"/>
        <v>#VALUE!</v>
      </c>
      <c r="EN659" s="1497"/>
      <c r="EO659" s="1497"/>
      <c r="EP659" s="1497"/>
      <c r="EQ659" s="1497"/>
      <c r="ER659" s="1497" t="e">
        <f t="shared" si="46"/>
        <v>#VALUE!</v>
      </c>
      <c r="ES659" s="1497"/>
      <c r="ET659" s="1497"/>
      <c r="EU659" s="1497"/>
      <c r="EV659" s="1497"/>
      <c r="EW659" s="1497" t="e">
        <f t="shared" si="47"/>
        <v>#VALUE!</v>
      </c>
      <c r="EX659" s="1497"/>
      <c r="EY659" s="1497"/>
      <c r="EZ659" s="1497"/>
      <c r="FA659" s="1497"/>
    </row>
    <row r="660" spans="1:157" ht="13" customHeight="1">
      <c r="A660" s="22"/>
      <c r="B660" t="s">
        <v>85</v>
      </c>
      <c r="G660" s="1421"/>
      <c r="H660" s="1421"/>
      <c r="I660" s="1421"/>
      <c r="J660" s="1421"/>
      <c r="K660" s="1421"/>
      <c r="L660" s="1421"/>
      <c r="M660" s="1421"/>
      <c r="N660" s="1421"/>
      <c r="O660" s="1421"/>
      <c r="P660" s="1421"/>
      <c r="Q660" s="1421"/>
      <c r="R660" s="1421"/>
      <c r="T660" s="22"/>
      <c r="U660" t="s">
        <v>85</v>
      </c>
      <c r="Z660" s="1421"/>
      <c r="AA660" s="1421"/>
      <c r="AB660" s="1421"/>
      <c r="AC660" s="1421"/>
      <c r="AD660" s="1421"/>
      <c r="AE660" s="1421"/>
      <c r="AF660" s="1421"/>
      <c r="AG660" s="1421"/>
      <c r="AH660" s="1421"/>
      <c r="AI660" s="1421"/>
      <c r="AJ660" s="1421"/>
      <c r="AK660" s="1421"/>
      <c r="AZ660" s="34"/>
      <c r="BA660" s="34"/>
      <c r="BB660" s="34"/>
      <c r="BC660" s="34"/>
      <c r="BD660" s="34"/>
      <c r="BE660" s="34"/>
      <c r="BF660" s="34"/>
      <c r="BG660" s="34"/>
      <c r="BH660" s="34"/>
      <c r="BI660" s="34"/>
      <c r="BJ660" s="34"/>
      <c r="BK660" s="34"/>
      <c r="BL660" s="34"/>
      <c r="BM660" s="34"/>
      <c r="BN660" s="1493">
        <f>BN632+BN641+BN655</f>
        <v>179</v>
      </c>
      <c r="BO660" s="1494"/>
      <c r="BP660" s="1494"/>
      <c r="BQ660" s="1494"/>
      <c r="BR660" s="1495"/>
      <c r="BS660" s="1493">
        <f>BS632+BS641+BS655</f>
        <v>0</v>
      </c>
      <c r="BT660" s="1494"/>
      <c r="BU660" s="1494"/>
      <c r="BV660" s="1494"/>
      <c r="BW660" s="1495"/>
      <c r="BX660" s="1493">
        <f>BX632+BX641+BX655</f>
        <v>0</v>
      </c>
      <c r="BY660" s="1494"/>
      <c r="BZ660" s="1494"/>
      <c r="CA660" s="1494"/>
      <c r="CB660" s="1495"/>
      <c r="CC660" s="1493">
        <f>CC632+CC641+CC655</f>
        <v>0</v>
      </c>
      <c r="CD660" s="1494"/>
      <c r="CE660" s="1494"/>
      <c r="CF660" s="1494"/>
      <c r="CG660" s="1495"/>
      <c r="CH660" s="1493">
        <f>CH632+CH641+CH655</f>
        <v>0</v>
      </c>
      <c r="CI660" s="1494"/>
      <c r="CJ660" s="1494"/>
      <c r="CK660" s="1494"/>
      <c r="CL660" s="1495"/>
      <c r="CM660" s="1486">
        <f>CM655+CM641+CM632</f>
        <v>0</v>
      </c>
      <c r="CN660" s="1487"/>
      <c r="CO660" s="1487"/>
      <c r="CP660" s="1487"/>
      <c r="CQ660" s="1488"/>
      <c r="CR660" s="3"/>
      <c r="CS660" s="895">
        <f>CS634+CS658</f>
        <v>177</v>
      </c>
      <c r="CT660" s="57" t="s">
        <v>2055</v>
      </c>
      <c r="CU660" s="3"/>
      <c r="CV660" s="3"/>
      <c r="CW660" s="3"/>
      <c r="CX660" s="3"/>
      <c r="CY660" s="3"/>
      <c r="CZ660" s="3"/>
      <c r="DA660" s="3"/>
      <c r="DB660" s="3"/>
      <c r="DC660" s="3"/>
      <c r="DD660" s="3"/>
      <c r="DE660" s="3"/>
      <c r="DF660" s="3"/>
      <c r="DX660" s="1497" t="e">
        <f t="shared" si="42"/>
        <v>#VALUE!</v>
      </c>
      <c r="DY660" s="1497"/>
      <c r="DZ660" s="1497"/>
      <c r="EA660" s="1497"/>
      <c r="EB660" s="1497"/>
      <c r="EC660" s="1497" t="e">
        <f t="shared" si="43"/>
        <v>#VALUE!</v>
      </c>
      <c r="ED660" s="1497"/>
      <c r="EE660" s="1497"/>
      <c r="EF660" s="1497"/>
      <c r="EG660" s="1497"/>
      <c r="EH660" s="1497" t="e">
        <f t="shared" si="44"/>
        <v>#VALUE!</v>
      </c>
      <c r="EI660" s="1497"/>
      <c r="EJ660" s="1497"/>
      <c r="EK660" s="1497"/>
      <c r="EL660" s="1497"/>
      <c r="EM660" s="1497" t="e">
        <f t="shared" si="45"/>
        <v>#VALUE!</v>
      </c>
      <c r="EN660" s="1497"/>
      <c r="EO660" s="1497"/>
      <c r="EP660" s="1497"/>
      <c r="EQ660" s="1497"/>
      <c r="ER660" s="1497" t="e">
        <f t="shared" si="46"/>
        <v>#VALUE!</v>
      </c>
      <c r="ES660" s="1497"/>
      <c r="ET660" s="1497"/>
      <c r="EU660" s="1497"/>
      <c r="EV660" s="1497"/>
      <c r="EW660" s="1497" t="e">
        <f t="shared" si="47"/>
        <v>#VALUE!</v>
      </c>
      <c r="EX660" s="1497"/>
      <c r="EY660" s="1497"/>
      <c r="EZ660" s="1497"/>
      <c r="FA660" s="1497"/>
    </row>
    <row r="661" spans="1:157" ht="13" customHeight="1">
      <c r="A661" s="22"/>
      <c r="B661" t="s">
        <v>589</v>
      </c>
      <c r="G661" s="1421"/>
      <c r="H661" s="1421"/>
      <c r="I661" s="1421"/>
      <c r="J661" s="1421"/>
      <c r="K661" s="1421"/>
      <c r="L661" s="1421"/>
      <c r="M661" s="1421"/>
      <c r="N661" s="1421"/>
      <c r="O661" s="1421"/>
      <c r="P661" s="1421"/>
      <c r="Q661" s="1421"/>
      <c r="R661" s="1421"/>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7" t="e">
        <f t="shared" si="42"/>
        <v>#VALUE!</v>
      </c>
      <c r="DY661" s="1497"/>
      <c r="DZ661" s="1497"/>
      <c r="EA661" s="1497"/>
      <c r="EB661" s="1497"/>
      <c r="EC661" s="1497" t="e">
        <f t="shared" si="43"/>
        <v>#VALUE!</v>
      </c>
      <c r="ED661" s="1497"/>
      <c r="EE661" s="1497"/>
      <c r="EF661" s="1497"/>
      <c r="EG661" s="1497"/>
      <c r="EH661" s="1497" t="e">
        <f t="shared" si="44"/>
        <v>#VALUE!</v>
      </c>
      <c r="EI661" s="1497"/>
      <c r="EJ661" s="1497"/>
      <c r="EK661" s="1497"/>
      <c r="EL661" s="1497"/>
      <c r="EM661" s="1497" t="e">
        <f t="shared" si="45"/>
        <v>#VALUE!</v>
      </c>
      <c r="EN661" s="1497"/>
      <c r="EO661" s="1497"/>
      <c r="EP661" s="1497"/>
      <c r="EQ661" s="1497"/>
      <c r="ER661" s="1497" t="e">
        <f t="shared" si="46"/>
        <v>#VALUE!</v>
      </c>
      <c r="ES661" s="1497"/>
      <c r="ET661" s="1497"/>
      <c r="EU661" s="1497"/>
      <c r="EV661" s="1497"/>
      <c r="EW661" s="1497" t="e">
        <f t="shared" si="47"/>
        <v>#VALUE!</v>
      </c>
      <c r="EX661" s="1497"/>
      <c r="EY661" s="1497"/>
      <c r="EZ661" s="1497"/>
      <c r="FA661" s="1497"/>
    </row>
    <row r="662" spans="1:157" ht="13" customHeight="1">
      <c r="A662" s="22"/>
      <c r="B662" t="s">
        <v>17</v>
      </c>
      <c r="G662" s="1421"/>
      <c r="H662" s="1421"/>
      <c r="I662" s="1421"/>
      <c r="J662" s="1421"/>
      <c r="K662" s="1421"/>
      <c r="L662" s="1421"/>
      <c r="M662" s="1421"/>
      <c r="N662" s="1421"/>
      <c r="O662" s="1421"/>
      <c r="P662" s="1421"/>
      <c r="Q662" s="1421"/>
      <c r="R662" s="1421"/>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7" t="e">
        <f t="shared" si="42"/>
        <v>#VALUE!</v>
      </c>
      <c r="DY662" s="1497"/>
      <c r="DZ662" s="1497"/>
      <c r="EA662" s="1497"/>
      <c r="EB662" s="1497"/>
      <c r="EC662" s="1497" t="e">
        <f t="shared" si="43"/>
        <v>#VALUE!</v>
      </c>
      <c r="ED662" s="1497"/>
      <c r="EE662" s="1497"/>
      <c r="EF662" s="1497"/>
      <c r="EG662" s="1497"/>
      <c r="EH662" s="1497" t="e">
        <f t="shared" si="44"/>
        <v>#VALUE!</v>
      </c>
      <c r="EI662" s="1497"/>
      <c r="EJ662" s="1497"/>
      <c r="EK662" s="1497"/>
      <c r="EL662" s="1497"/>
      <c r="EM662" s="1497" t="e">
        <f t="shared" si="45"/>
        <v>#VALUE!</v>
      </c>
      <c r="EN662" s="1497"/>
      <c r="EO662" s="1497"/>
      <c r="EP662" s="1497"/>
      <c r="EQ662" s="1497"/>
      <c r="ER662" s="1497" t="e">
        <f t="shared" si="46"/>
        <v>#VALUE!</v>
      </c>
      <c r="ES662" s="1497"/>
      <c r="ET662" s="1497"/>
      <c r="EU662" s="1497"/>
      <c r="EV662" s="1497"/>
      <c r="EW662" s="1497" t="e">
        <f t="shared" si="47"/>
        <v>#VALUE!</v>
      </c>
      <c r="EX662" s="1497"/>
      <c r="EY662" s="1497"/>
      <c r="EZ662" s="1497"/>
      <c r="FA662" s="1497"/>
    </row>
    <row r="663" spans="1:157" ht="13" customHeight="1">
      <c r="A663" s="22"/>
      <c r="B663" t="s">
        <v>317</v>
      </c>
      <c r="G663" s="1453"/>
      <c r="H663" s="1453"/>
      <c r="I663" s="1453"/>
      <c r="J663" s="1453"/>
      <c r="K663" s="1453"/>
      <c r="L663" s="1453"/>
      <c r="O663" s="33" t="s">
        <v>207</v>
      </c>
      <c r="P663" s="1419"/>
      <c r="Q663" s="1419"/>
      <c r="R663" s="1419"/>
      <c r="T663" s="22"/>
      <c r="U663" t="s">
        <v>317</v>
      </c>
      <c r="Z663" s="1453"/>
      <c r="AA663" s="1453"/>
      <c r="AB663" s="1453"/>
      <c r="AC663" s="1453"/>
      <c r="AD663" s="1453"/>
      <c r="AE663" s="1453"/>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7" t="e">
        <f t="shared" si="42"/>
        <v>#VALUE!</v>
      </c>
      <c r="DY663" s="1497"/>
      <c r="DZ663" s="1497"/>
      <c r="EA663" s="1497"/>
      <c r="EB663" s="1497"/>
      <c r="EC663" s="1497" t="e">
        <f t="shared" si="43"/>
        <v>#VALUE!</v>
      </c>
      <c r="ED663" s="1497"/>
      <c r="EE663" s="1497"/>
      <c r="EF663" s="1497"/>
      <c r="EG663" s="1497"/>
      <c r="EH663" s="1497" t="e">
        <f t="shared" si="44"/>
        <v>#VALUE!</v>
      </c>
      <c r="EI663" s="1497"/>
      <c r="EJ663" s="1497"/>
      <c r="EK663" s="1497"/>
      <c r="EL663" s="1497"/>
      <c r="EM663" s="1497" t="e">
        <f t="shared" si="45"/>
        <v>#VALUE!</v>
      </c>
      <c r="EN663" s="1497"/>
      <c r="EO663" s="1497"/>
      <c r="EP663" s="1497"/>
      <c r="EQ663" s="1497"/>
      <c r="ER663" s="1497" t="e">
        <f t="shared" si="46"/>
        <v>#VALUE!</v>
      </c>
      <c r="ES663" s="1497"/>
      <c r="ET663" s="1497"/>
      <c r="EU663" s="1497"/>
      <c r="EV663" s="1497"/>
      <c r="EW663" s="1497" t="e">
        <f t="shared" si="47"/>
        <v>#VALUE!</v>
      </c>
      <c r="EX663" s="1497"/>
      <c r="EY663" s="1497"/>
      <c r="EZ663" s="1497"/>
      <c r="FA663" s="1497"/>
    </row>
    <row r="664" spans="1:157" ht="13" customHeight="1">
      <c r="A664" s="22"/>
      <c r="B664" t="s">
        <v>18</v>
      </c>
      <c r="H664" s="1421"/>
      <c r="I664" s="1421"/>
      <c r="J664" s="1421"/>
      <c r="K664" s="1421"/>
      <c r="L664" s="1421"/>
      <c r="M664" s="1421"/>
      <c r="N664" s="1421"/>
      <c r="O664" s="1421"/>
      <c r="P664" s="1421"/>
      <c r="Q664" s="1421"/>
      <c r="R664" s="1421"/>
      <c r="T664" s="22"/>
      <c r="U664" t="s">
        <v>18</v>
      </c>
      <c r="AA664" s="1421"/>
      <c r="AB664" s="1421"/>
      <c r="AC664" s="1421"/>
      <c r="AD664" s="1421"/>
      <c r="AE664" s="1421"/>
      <c r="AF664" s="1421"/>
      <c r="AG664" s="1421"/>
      <c r="AH664" s="1421"/>
      <c r="AI664" s="1421"/>
      <c r="AJ664" s="1421"/>
      <c r="AK664" s="142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7" t="e">
        <f t="shared" si="42"/>
        <v>#VALUE!</v>
      </c>
      <c r="DY664" s="1497"/>
      <c r="DZ664" s="1497"/>
      <c r="EA664" s="1497"/>
      <c r="EB664" s="1497"/>
      <c r="EC664" s="1497" t="e">
        <f t="shared" si="43"/>
        <v>#VALUE!</v>
      </c>
      <c r="ED664" s="1497"/>
      <c r="EE664" s="1497"/>
      <c r="EF664" s="1497"/>
      <c r="EG664" s="1497"/>
      <c r="EH664" s="1497" t="e">
        <f t="shared" si="44"/>
        <v>#VALUE!</v>
      </c>
      <c r="EI664" s="1497"/>
      <c r="EJ664" s="1497"/>
      <c r="EK664" s="1497"/>
      <c r="EL664" s="1497"/>
      <c r="EM664" s="1497" t="e">
        <f t="shared" si="45"/>
        <v>#VALUE!</v>
      </c>
      <c r="EN664" s="1497"/>
      <c r="EO664" s="1497"/>
      <c r="EP664" s="1497"/>
      <c r="EQ664" s="1497"/>
      <c r="ER664" s="1497" t="e">
        <f t="shared" si="46"/>
        <v>#VALUE!</v>
      </c>
      <c r="ES664" s="1497"/>
      <c r="ET664" s="1497"/>
      <c r="EU664" s="1497"/>
      <c r="EV664" s="1497"/>
      <c r="EW664" s="1497" t="e">
        <f t="shared" si="47"/>
        <v>#VALUE!</v>
      </c>
      <c r="EX664" s="1497"/>
      <c r="EY664" s="1497"/>
      <c r="EZ664" s="1497"/>
      <c r="FA664" s="1497"/>
    </row>
    <row r="665" spans="1:157" ht="13" customHeight="1">
      <c r="A665" s="22"/>
      <c r="B665" t="s">
        <v>20</v>
      </c>
      <c r="N665" s="1429" t="s">
        <v>678</v>
      </c>
      <c r="O665" s="1429"/>
      <c r="T665" s="22"/>
      <c r="U665" t="s">
        <v>20</v>
      </c>
      <c r="AG665" s="1429" t="s">
        <v>678</v>
      </c>
      <c r="AH665" s="142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7" t="e">
        <f t="shared" si="42"/>
        <v>#VALUE!</v>
      </c>
      <c r="DY665" s="1497"/>
      <c r="DZ665" s="1497"/>
      <c r="EA665" s="1497"/>
      <c r="EB665" s="1497"/>
      <c r="EC665" s="1497" t="e">
        <f t="shared" si="43"/>
        <v>#VALUE!</v>
      </c>
      <c r="ED665" s="1497"/>
      <c r="EE665" s="1497"/>
      <c r="EF665" s="1497"/>
      <c r="EG665" s="1497"/>
      <c r="EH665" s="1497" t="e">
        <f t="shared" si="44"/>
        <v>#VALUE!</v>
      </c>
      <c r="EI665" s="1497"/>
      <c r="EJ665" s="1497"/>
      <c r="EK665" s="1497"/>
      <c r="EL665" s="1497"/>
      <c r="EM665" s="1497" t="e">
        <f t="shared" si="45"/>
        <v>#VALUE!</v>
      </c>
      <c r="EN665" s="1497"/>
      <c r="EO665" s="1497"/>
      <c r="EP665" s="1497"/>
      <c r="EQ665" s="1497"/>
      <c r="ER665" s="1497" t="e">
        <f t="shared" si="46"/>
        <v>#VALUE!</v>
      </c>
      <c r="ES665" s="1497"/>
      <c r="ET665" s="1497"/>
      <c r="EU665" s="1497"/>
      <c r="EV665" s="1497"/>
      <c r="EW665" s="1497" t="e">
        <f t="shared" si="47"/>
        <v>#VALUE!</v>
      </c>
      <c r="EX665" s="1497"/>
      <c r="EY665" s="1497"/>
      <c r="EZ665" s="1497"/>
      <c r="FA665" s="1497"/>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7" t="e">
        <f t="shared" si="42"/>
        <v>#VALUE!</v>
      </c>
      <c r="DY666" s="1497"/>
      <c r="DZ666" s="1497"/>
      <c r="EA666" s="1497"/>
      <c r="EB666" s="1497"/>
      <c r="EC666" s="1497" t="e">
        <f t="shared" si="43"/>
        <v>#VALUE!</v>
      </c>
      <c r="ED666" s="1497"/>
      <c r="EE666" s="1497"/>
      <c r="EF666" s="1497"/>
      <c r="EG666" s="1497"/>
      <c r="EH666" s="1497" t="e">
        <f t="shared" si="44"/>
        <v>#VALUE!</v>
      </c>
      <c r="EI666" s="1497"/>
      <c r="EJ666" s="1497"/>
      <c r="EK666" s="1497"/>
      <c r="EL666" s="1497"/>
      <c r="EM666" s="1497" t="e">
        <f t="shared" si="45"/>
        <v>#VALUE!</v>
      </c>
      <c r="EN666" s="1497"/>
      <c r="EO666" s="1497"/>
      <c r="EP666" s="1497"/>
      <c r="EQ666" s="1497"/>
      <c r="ER666" s="1497" t="e">
        <f t="shared" si="46"/>
        <v>#VALUE!</v>
      </c>
      <c r="ES666" s="1497"/>
      <c r="ET666" s="1497"/>
      <c r="EU666" s="1497"/>
      <c r="EV666" s="1497"/>
      <c r="EW666" s="1497" t="e">
        <f t="shared" si="47"/>
        <v>#VALUE!</v>
      </c>
      <c r="EX666" s="1497"/>
      <c r="EY666" s="1497"/>
      <c r="EZ666" s="1497"/>
      <c r="FA666" s="1497"/>
    </row>
    <row r="667" spans="1:157" ht="13" customHeight="1">
      <c r="A667" s="55" t="s">
        <v>464</v>
      </c>
      <c r="B667" t="s">
        <v>472</v>
      </c>
      <c r="G667" s="1420">
        <f>C633</f>
        <v>0</v>
      </c>
      <c r="H667" s="1420"/>
      <c r="I667" s="1420"/>
      <c r="J667" s="1420"/>
      <c r="K667" s="1420"/>
      <c r="L667" s="1420"/>
      <c r="M667" s="1420"/>
      <c r="N667" s="1420"/>
      <c r="O667" s="1420"/>
      <c r="P667" s="1420"/>
      <c r="Q667" s="1420"/>
      <c r="R667" s="1420"/>
      <c r="T667" s="55" t="s">
        <v>465</v>
      </c>
      <c r="U667" t="s">
        <v>472</v>
      </c>
      <c r="Z667" s="1420">
        <f>C634</f>
        <v>0</v>
      </c>
      <c r="AA667" s="1420"/>
      <c r="AB667" s="1420"/>
      <c r="AC667" s="1420"/>
      <c r="AD667" s="1420"/>
      <c r="AE667" s="1420"/>
      <c r="AF667" s="1420"/>
      <c r="AG667" s="1420"/>
      <c r="AH667" s="1420"/>
      <c r="AI667" s="1420"/>
      <c r="AJ667" s="1420"/>
      <c r="AK667" s="1420"/>
      <c r="AZ667" s="3"/>
      <c r="BA667" s="118">
        <f t="shared" ref="BA667:BA699" si="48">IF($G718=0,"N/A",VLOOKUP($T$189,TC_Rent,(MATCH($B718,bedrooms,FALSE))))</f>
        <v>2652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7" t="e">
        <f t="shared" si="42"/>
        <v>#VALUE!</v>
      </c>
      <c r="DY667" s="1497"/>
      <c r="DZ667" s="1497"/>
      <c r="EA667" s="1497"/>
      <c r="EB667" s="1497"/>
      <c r="EC667" s="1497" t="e">
        <f t="shared" si="43"/>
        <v>#VALUE!</v>
      </c>
      <c r="ED667" s="1497"/>
      <c r="EE667" s="1497"/>
      <c r="EF667" s="1497"/>
      <c r="EG667" s="1497"/>
      <c r="EH667" s="1497" t="e">
        <f t="shared" si="44"/>
        <v>#VALUE!</v>
      </c>
      <c r="EI667" s="1497"/>
      <c r="EJ667" s="1497"/>
      <c r="EK667" s="1497"/>
      <c r="EL667" s="1497"/>
      <c r="EM667" s="1497" t="e">
        <f t="shared" si="45"/>
        <v>#VALUE!</v>
      </c>
      <c r="EN667" s="1497"/>
      <c r="EO667" s="1497"/>
      <c r="EP667" s="1497"/>
      <c r="EQ667" s="1497"/>
      <c r="ER667" s="1497" t="e">
        <f t="shared" si="46"/>
        <v>#VALUE!</v>
      </c>
      <c r="ES667" s="1497"/>
      <c r="ET667" s="1497"/>
      <c r="EU667" s="1497"/>
      <c r="EV667" s="1497"/>
      <c r="EW667" s="1497" t="e">
        <f t="shared" si="47"/>
        <v>#VALUE!</v>
      </c>
      <c r="EX667" s="1497"/>
      <c r="EY667" s="1497"/>
      <c r="EZ667" s="1497"/>
      <c r="FA667" s="1497"/>
    </row>
    <row r="668" spans="1:157" ht="13" customHeight="1">
      <c r="A668" s="22"/>
      <c r="B668" t="s">
        <v>85</v>
      </c>
      <c r="G668" s="1421"/>
      <c r="H668" s="1421"/>
      <c r="I668" s="1421"/>
      <c r="J668" s="1421"/>
      <c r="K668" s="1421"/>
      <c r="L668" s="1421"/>
      <c r="M668" s="1421"/>
      <c r="N668" s="1421"/>
      <c r="O668" s="1421"/>
      <c r="P668" s="1421"/>
      <c r="Q668" s="1421"/>
      <c r="R668" s="1421"/>
      <c r="T668" s="22"/>
      <c r="U668" t="s">
        <v>85</v>
      </c>
      <c r="Z668" s="1421"/>
      <c r="AA668" s="1421"/>
      <c r="AB668" s="1421"/>
      <c r="AC668" s="1421"/>
      <c r="AD668" s="1421"/>
      <c r="AE668" s="1421"/>
      <c r="AF668" s="1421"/>
      <c r="AG668" s="1421"/>
      <c r="AH668" s="1421"/>
      <c r="AI668" s="1421"/>
      <c r="AJ668" s="1421"/>
      <c r="AK668" s="1421"/>
      <c r="AZ668" s="3"/>
      <c r="BA668" s="118">
        <f t="shared" si="48"/>
        <v>2652</v>
      </c>
      <c r="BB668" s="3"/>
      <c r="BC668" s="3"/>
      <c r="BD668" s="3"/>
      <c r="BE668" s="3"/>
      <c r="BF668" s="218"/>
      <c r="BG668" s="315">
        <f t="shared" ref="BG668:BG700" si="49">G718</f>
        <v>45</v>
      </c>
      <c r="BH668" s="319">
        <f t="shared" ref="BH668:BH702" si="50">IF($BG$703=0,0,BG668/$BG$703)</f>
        <v>0.25423728813559321</v>
      </c>
      <c r="BI668" s="320">
        <f t="shared" ref="BI668:BI691" si="51">IF(BH668=0,"",BH668*AC718)</f>
        <v>7.6271186440677957E-2</v>
      </c>
      <c r="BJ668" s="3"/>
      <c r="BK668" s="3"/>
      <c r="BL668" s="3"/>
      <c r="BM668" s="3"/>
      <c r="BN668" s="3"/>
      <c r="BO668" s="3"/>
      <c r="BT668" s="315">
        <f t="shared" ref="BT668:BT700" si="52">G718</f>
        <v>45</v>
      </c>
      <c r="BU668" s="319">
        <f t="shared" ref="BU668:BU702" si="53">IF($BT$703=0,0,BT668/$BT$703)</f>
        <v>0.25423728813559321</v>
      </c>
      <c r="BV668" s="320">
        <f t="shared" ref="BV668:BV700" si="54">IF(BU668=0,"",BU668*AH718)</f>
        <v>7.6213666692230994E-2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7" t="e">
        <f>DX630*(BN630/$BN$632)</f>
        <v>#VALUE!</v>
      </c>
      <c r="DY668" s="1497"/>
      <c r="DZ668" s="1497"/>
      <c r="EA668" s="1497"/>
      <c r="EB668" s="1497"/>
      <c r="EC668" s="1497" t="e">
        <f>EC630*(BS630/$BS$632)</f>
        <v>#VALUE!</v>
      </c>
      <c r="ED668" s="1497"/>
      <c r="EE668" s="1497"/>
      <c r="EF668" s="1497"/>
      <c r="EG668" s="1497"/>
      <c r="EH668" s="1497" t="e">
        <f>EH630*(BX630/$BX$632)</f>
        <v>#VALUE!</v>
      </c>
      <c r="EI668" s="1497"/>
      <c r="EJ668" s="1497"/>
      <c r="EK668" s="1497"/>
      <c r="EL668" s="1497"/>
      <c r="EM668" s="1497" t="e">
        <f>EM630*(CC630/$CC$632)</f>
        <v>#VALUE!</v>
      </c>
      <c r="EN668" s="1497"/>
      <c r="EO668" s="1497"/>
      <c r="EP668" s="1497"/>
      <c r="EQ668" s="1497"/>
      <c r="ER668" s="1497" t="e">
        <f>ER630*(CH630/$CH$632)</f>
        <v>#VALUE!</v>
      </c>
      <c r="ES668" s="1497"/>
      <c r="ET668" s="1497"/>
      <c r="EU668" s="1497"/>
      <c r="EV668" s="1497"/>
      <c r="EW668" s="1497" t="e">
        <f>EW630*(CM630/$CM$632)</f>
        <v>#VALUE!</v>
      </c>
      <c r="EX668" s="1497"/>
      <c r="EY668" s="1497"/>
      <c r="EZ668" s="1497"/>
      <c r="FA668" s="1497"/>
    </row>
    <row r="669" spans="1:157" ht="13" customHeight="1">
      <c r="A669" s="22"/>
      <c r="B669" t="s">
        <v>589</v>
      </c>
      <c r="G669" s="1421"/>
      <c r="H669" s="1421"/>
      <c r="I669" s="1421"/>
      <c r="J669" s="1421"/>
      <c r="K669" s="1421"/>
      <c r="L669" s="1421"/>
      <c r="M669" s="1421"/>
      <c r="N669" s="1421"/>
      <c r="O669" s="1421"/>
      <c r="P669" s="1421"/>
      <c r="Q669" s="1421"/>
      <c r="R669" s="1421"/>
      <c r="T669" s="22"/>
      <c r="U669" t="s">
        <v>589</v>
      </c>
      <c r="Z669" s="1433"/>
      <c r="AA669" s="1433"/>
      <c r="AB669" s="1433"/>
      <c r="AC669" s="1433"/>
      <c r="AD669" s="1433"/>
      <c r="AE669" s="1433"/>
      <c r="AF669" s="1433"/>
      <c r="AG669" s="1433"/>
      <c r="AH669" s="1433"/>
      <c r="AI669" s="1433"/>
      <c r="AJ669" s="1433"/>
      <c r="AK669" s="1433"/>
      <c r="AZ669" s="3"/>
      <c r="BA669" s="118">
        <f t="shared" si="48"/>
        <v>2652</v>
      </c>
      <c r="BB669" s="3"/>
      <c r="BC669" s="3"/>
      <c r="BD669" s="3"/>
      <c r="BE669" s="3"/>
      <c r="BF669" s="218"/>
      <c r="BG669" s="316">
        <f t="shared" si="49"/>
        <v>43</v>
      </c>
      <c r="BH669" s="319">
        <f t="shared" si="50"/>
        <v>0.24293785310734464</v>
      </c>
      <c r="BI669" s="320">
        <f t="shared" si="51"/>
        <v>0.12146892655367232</v>
      </c>
      <c r="BJ669" s="3"/>
      <c r="BK669" s="3"/>
      <c r="BL669" s="3"/>
      <c r="BM669" s="3"/>
      <c r="BN669" s="3"/>
      <c r="BO669" s="3"/>
      <c r="BT669" s="316">
        <f t="shared" si="52"/>
        <v>43</v>
      </c>
      <c r="BU669" s="319">
        <f t="shared" si="53"/>
        <v>0.24293785310734464</v>
      </c>
      <c r="BV669" s="320">
        <f t="shared" si="54"/>
        <v>0.12146892655367232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7" t="e">
        <f>DX631*(BN631/$BN$632)</f>
        <v>#VALUE!</v>
      </c>
      <c r="DY669" s="1497"/>
      <c r="DZ669" s="1497"/>
      <c r="EA669" s="1497"/>
      <c r="EB669" s="1497"/>
      <c r="EC669" s="1497" t="e">
        <f>EC631*(BS631/$BS$632)</f>
        <v>#VALUE!</v>
      </c>
      <c r="ED669" s="1497"/>
      <c r="EE669" s="1497"/>
      <c r="EF669" s="1497"/>
      <c r="EG669" s="1497"/>
      <c r="EH669" s="1497" t="e">
        <f>EH631*(BX631/$BX$632)</f>
        <v>#VALUE!</v>
      </c>
      <c r="EI669" s="1497"/>
      <c r="EJ669" s="1497"/>
      <c r="EK669" s="1497"/>
      <c r="EL669" s="1497"/>
      <c r="EM669" s="1497" t="e">
        <f>EM631*(CC631/$CC$632)</f>
        <v>#VALUE!</v>
      </c>
      <c r="EN669" s="1497"/>
      <c r="EO669" s="1497"/>
      <c r="EP669" s="1497"/>
      <c r="EQ669" s="1497"/>
      <c r="ER669" s="1497" t="e">
        <f>ER631*(CH631/$CH$632)</f>
        <v>#VALUE!</v>
      </c>
      <c r="ES669" s="1497"/>
      <c r="ET669" s="1497"/>
      <c r="EU669" s="1497"/>
      <c r="EV669" s="1497"/>
      <c r="EW669" s="1497" t="e">
        <f>EW631*(CM631/$CM$632)</f>
        <v>#VALUE!</v>
      </c>
      <c r="EX669" s="1497"/>
      <c r="EY669" s="1497"/>
      <c r="EZ669" s="1497"/>
      <c r="FA669" s="1497"/>
    </row>
    <row r="670" spans="1:157" ht="13" customHeight="1">
      <c r="A670" s="22"/>
      <c r="B670" t="s">
        <v>17</v>
      </c>
      <c r="G670" s="1421"/>
      <c r="H670" s="1421"/>
      <c r="I670" s="1421"/>
      <c r="J670" s="1421"/>
      <c r="K670" s="1421"/>
      <c r="L670" s="1421"/>
      <c r="M670" s="1421"/>
      <c r="N670" s="1421"/>
      <c r="O670" s="1421"/>
      <c r="P670" s="1421"/>
      <c r="Q670" s="1421"/>
      <c r="R670" s="1421"/>
      <c r="T670" s="22"/>
      <c r="U670" t="s">
        <v>17</v>
      </c>
      <c r="Z670" s="1433"/>
      <c r="AA670" s="1433"/>
      <c r="AB670" s="1433"/>
      <c r="AC670" s="1433"/>
      <c r="AD670" s="1433"/>
      <c r="AE670" s="1433"/>
      <c r="AF670" s="1433"/>
      <c r="AG670" s="1433"/>
      <c r="AH670" s="1433"/>
      <c r="AI670" s="1433"/>
      <c r="AJ670" s="1433"/>
      <c r="AK670" s="1433"/>
      <c r="AZ670" s="3"/>
      <c r="BA670" s="118" t="str">
        <f t="shared" si="48"/>
        <v>N/A</v>
      </c>
      <c r="BB670" s="3"/>
      <c r="BC670" s="3"/>
      <c r="BD670" s="3"/>
      <c r="BE670" s="3"/>
      <c r="BF670" s="218"/>
      <c r="BG670" s="316">
        <f t="shared" si="49"/>
        <v>89</v>
      </c>
      <c r="BH670" s="319">
        <f t="shared" si="50"/>
        <v>0.50282485875706218</v>
      </c>
      <c r="BI670" s="320">
        <f t="shared" si="51"/>
        <v>0.30169491525423731</v>
      </c>
      <c r="BJ670" s="3"/>
      <c r="BK670" s="3"/>
      <c r="BL670" s="3"/>
      <c r="BM670" s="3"/>
      <c r="BN670" s="3"/>
      <c r="BO670" s="3"/>
      <c r="BT670" s="316">
        <f t="shared" si="52"/>
        <v>89</v>
      </c>
      <c r="BU670" s="319">
        <f t="shared" si="53"/>
        <v>0.50282485875706218</v>
      </c>
      <c r="BV670" s="320">
        <f t="shared" si="54"/>
        <v>0.30165699482748337</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7">
        <f>SUMIF(DX635:EB669,"&gt;0")</f>
        <v>1214.2485875706216</v>
      </c>
      <c r="DY670" s="1497"/>
      <c r="DZ670" s="1497"/>
      <c r="EA670" s="1497"/>
      <c r="EB670" s="1497"/>
      <c r="EC670" s="1497">
        <f>SUMIF(EC635:EG669,"&gt;0")</f>
        <v>0</v>
      </c>
      <c r="ED670" s="1497"/>
      <c r="EE670" s="1497"/>
      <c r="EF670" s="1497"/>
      <c r="EG670" s="1497"/>
      <c r="EH670" s="1497">
        <f>SUMIF(EH635:EL669,"&gt;0")</f>
        <v>0</v>
      </c>
      <c r="EI670" s="1497"/>
      <c r="EJ670" s="1497"/>
      <c r="EK670" s="1497"/>
      <c r="EL670" s="1497"/>
      <c r="EM670" s="1497">
        <f>SUMIF(EM635:EQ669,"&gt;0")</f>
        <v>0</v>
      </c>
      <c r="EN670" s="1497"/>
      <c r="EO670" s="1497"/>
      <c r="EP670" s="1497"/>
      <c r="EQ670" s="1497"/>
      <c r="ER670" s="1497">
        <f>SUMIF(ER635:EV669,"&gt;0")</f>
        <v>0</v>
      </c>
      <c r="ES670" s="1497"/>
      <c r="ET670" s="1497"/>
      <c r="EU670" s="1497"/>
      <c r="EV670" s="1497"/>
      <c r="EW670" s="1497">
        <f>SUMIF(EW635:FA669,"&gt;0")</f>
        <v>0</v>
      </c>
      <c r="EX670" s="1497"/>
      <c r="EY670" s="1497"/>
      <c r="EZ670" s="1497"/>
      <c r="FA670" s="1497"/>
    </row>
    <row r="671" spans="1:157" ht="13" customHeight="1">
      <c r="A671" s="22"/>
      <c r="B671" t="s">
        <v>317</v>
      </c>
      <c r="G671" s="1453"/>
      <c r="H671" s="1453"/>
      <c r="I671" s="1453"/>
      <c r="J671" s="1453"/>
      <c r="K671" s="1453"/>
      <c r="L671" s="1453"/>
      <c r="O671" s="33" t="s">
        <v>207</v>
      </c>
      <c r="P671" s="1419"/>
      <c r="Q671" s="1419"/>
      <c r="R671" s="1419"/>
      <c r="T671" s="22"/>
      <c r="U671" t="s">
        <v>317</v>
      </c>
      <c r="Z671" s="1453"/>
      <c r="AA671" s="1453"/>
      <c r="AB671" s="1453"/>
      <c r="AC671" s="1453"/>
      <c r="AD671" s="1453"/>
      <c r="AE671" s="1453"/>
      <c r="AH671" s="33" t="s">
        <v>207</v>
      </c>
      <c r="AI671" s="1419"/>
      <c r="AJ671" s="1419"/>
      <c r="AK671" s="1419"/>
      <c r="AZ671" s="3"/>
      <c r="BA671" s="118" t="str">
        <f t="shared" si="48"/>
        <v>N/A</v>
      </c>
      <c r="BB671" s="3"/>
      <c r="BC671" s="3"/>
      <c r="BD671" s="3"/>
      <c r="BE671" s="3"/>
      <c r="BF671" s="218"/>
      <c r="BG671" s="316">
        <f t="shared" si="49"/>
        <v>0</v>
      </c>
      <c r="BH671" s="319">
        <f t="shared" si="50"/>
        <v>0</v>
      </c>
      <c r="BI671" s="320" t="str">
        <f t="shared" si="51"/>
        <v/>
      </c>
      <c r="BJ671" s="3"/>
      <c r="BK671" s="3"/>
      <c r="BL671" s="3"/>
      <c r="BM671" s="3"/>
      <c r="BN671" s="3"/>
      <c r="BO671" s="3"/>
      <c r="BT671" s="316">
        <f t="shared" si="52"/>
        <v>0</v>
      </c>
      <c r="BU671" s="319">
        <f t="shared" si="53"/>
        <v>0</v>
      </c>
      <c r="BV671" s="320" t="str">
        <f t="shared" si="54"/>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21"/>
      <c r="I672" s="1421"/>
      <c r="J672" s="1421"/>
      <c r="K672" s="1421"/>
      <c r="L672" s="1421"/>
      <c r="M672" s="1421"/>
      <c r="N672" s="1421"/>
      <c r="O672" s="1421"/>
      <c r="P672" s="1421"/>
      <c r="Q672" s="1421"/>
      <c r="R672" s="1421"/>
      <c r="T672" s="22"/>
      <c r="U672" t="s">
        <v>18</v>
      </c>
      <c r="AA672" s="1421"/>
      <c r="AB672" s="1421"/>
      <c r="AC672" s="1421"/>
      <c r="AD672" s="1421"/>
      <c r="AE672" s="1421"/>
      <c r="AF672" s="1421"/>
      <c r="AG672" s="1421"/>
      <c r="AH672" s="1421"/>
      <c r="AI672" s="1421"/>
      <c r="AJ672" s="1421"/>
      <c r="AK672" s="1421"/>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29" t="s">
        <v>678</v>
      </c>
      <c r="O673" s="1429"/>
      <c r="T673" s="22"/>
      <c r="U673" t="s">
        <v>20</v>
      </c>
      <c r="AG673" s="1429" t="s">
        <v>678</v>
      </c>
      <c r="AH673" s="1429"/>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420">
        <f>C635</f>
        <v>0</v>
      </c>
      <c r="H675" s="1420"/>
      <c r="I675" s="1420"/>
      <c r="J675" s="1420"/>
      <c r="K675" s="1420"/>
      <c r="L675" s="1420"/>
      <c r="M675" s="1420"/>
      <c r="N675" s="1420"/>
      <c r="O675" s="1420"/>
      <c r="P675" s="1420"/>
      <c r="Q675" s="1420"/>
      <c r="R675" s="1420"/>
      <c r="T675" s="55" t="s">
        <v>655</v>
      </c>
      <c r="U675" t="s">
        <v>472</v>
      </c>
      <c r="Z675" s="1420">
        <f>C636</f>
        <v>0</v>
      </c>
      <c r="AA675" s="1420"/>
      <c r="AB675" s="1420"/>
      <c r="AC675" s="1420"/>
      <c r="AD675" s="1420"/>
      <c r="AE675" s="1420"/>
      <c r="AF675" s="1420"/>
      <c r="AG675" s="1420"/>
      <c r="AH675" s="1420"/>
      <c r="AI675" s="1420"/>
      <c r="AJ675" s="1420"/>
      <c r="AK675" s="1420"/>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21"/>
      <c r="H676" s="1421"/>
      <c r="I676" s="1421"/>
      <c r="J676" s="1421"/>
      <c r="K676" s="1421"/>
      <c r="L676" s="1421"/>
      <c r="M676" s="1421"/>
      <c r="N676" s="1421"/>
      <c r="O676" s="1421"/>
      <c r="P676" s="1421"/>
      <c r="Q676" s="1421"/>
      <c r="R676" s="1421"/>
      <c r="T676" s="22"/>
      <c r="U676" t="s">
        <v>85</v>
      </c>
      <c r="Z676" s="1421"/>
      <c r="AA676" s="1421"/>
      <c r="AB676" s="1421"/>
      <c r="AC676" s="1421"/>
      <c r="AD676" s="1421"/>
      <c r="AE676" s="1421"/>
      <c r="AF676" s="1421"/>
      <c r="AG676" s="1421"/>
      <c r="AH676" s="1421"/>
      <c r="AI676" s="1421"/>
      <c r="AJ676" s="1421"/>
      <c r="AK676" s="1421"/>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421"/>
      <c r="H677" s="1421"/>
      <c r="I677" s="1421"/>
      <c r="J677" s="1421"/>
      <c r="K677" s="1421"/>
      <c r="L677" s="1421"/>
      <c r="M677" s="1421"/>
      <c r="N677" s="1421"/>
      <c r="O677" s="1421"/>
      <c r="P677" s="1421"/>
      <c r="Q677" s="1421"/>
      <c r="R677" s="1421"/>
      <c r="T677" s="22"/>
      <c r="U677" t="s">
        <v>589</v>
      </c>
      <c r="Z677" s="1433"/>
      <c r="AA677" s="1433"/>
      <c r="AB677" s="1433"/>
      <c r="AC677" s="1433"/>
      <c r="AD677" s="1433"/>
      <c r="AE677" s="1433"/>
      <c r="AF677" s="1433"/>
      <c r="AG677" s="1433"/>
      <c r="AH677" s="1433"/>
      <c r="AI677" s="1433"/>
      <c r="AJ677" s="1433"/>
      <c r="AK677" s="143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21"/>
      <c r="H678" s="1421"/>
      <c r="I678" s="1421"/>
      <c r="J678" s="1421"/>
      <c r="K678" s="1421"/>
      <c r="L678" s="1421"/>
      <c r="M678" s="1421"/>
      <c r="N678" s="1421"/>
      <c r="O678" s="1421"/>
      <c r="P678" s="1421"/>
      <c r="Q678" s="1421"/>
      <c r="R678" s="1421"/>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53"/>
      <c r="H679" s="1453"/>
      <c r="I679" s="1453"/>
      <c r="J679" s="1453"/>
      <c r="K679" s="1453"/>
      <c r="L679" s="1453"/>
      <c r="O679" s="33" t="s">
        <v>207</v>
      </c>
      <c r="P679" s="1419"/>
      <c r="Q679" s="1419"/>
      <c r="R679" s="1419"/>
      <c r="T679" s="22"/>
      <c r="U679" t="s">
        <v>317</v>
      </c>
      <c r="Z679" s="1453"/>
      <c r="AA679" s="1453"/>
      <c r="AB679" s="1453"/>
      <c r="AC679" s="1453"/>
      <c r="AD679" s="1453"/>
      <c r="AE679" s="1453"/>
      <c r="AH679" s="33" t="s">
        <v>207</v>
      </c>
      <c r="AI679" s="1419"/>
      <c r="AJ679" s="1419"/>
      <c r="AK679" s="1419"/>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21"/>
      <c r="I680" s="1421"/>
      <c r="J680" s="1421"/>
      <c r="K680" s="1421"/>
      <c r="L680" s="1421"/>
      <c r="M680" s="1421"/>
      <c r="N680" s="1421"/>
      <c r="O680" s="1421"/>
      <c r="P680" s="1421"/>
      <c r="Q680" s="1421"/>
      <c r="R680" s="1421"/>
      <c r="T680" s="22"/>
      <c r="U680" t="s">
        <v>18</v>
      </c>
      <c r="AA680" s="1421"/>
      <c r="AB680" s="1421"/>
      <c r="AC680" s="1421"/>
      <c r="AD680" s="1421"/>
      <c r="AE680" s="1421"/>
      <c r="AF680" s="1421"/>
      <c r="AG680" s="1421"/>
      <c r="AH680" s="1421"/>
      <c r="AI680" s="1421"/>
      <c r="AJ680" s="1421"/>
      <c r="AK680" s="142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29" t="s">
        <v>678</v>
      </c>
      <c r="O681" s="1429"/>
      <c r="T681" s="22"/>
      <c r="U681" t="s">
        <v>20</v>
      </c>
      <c r="AG681" s="1429" t="s">
        <v>678</v>
      </c>
      <c r="AH681" s="142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420">
        <f>C637</f>
        <v>0</v>
      </c>
      <c r="H683" s="1420"/>
      <c r="I683" s="1420"/>
      <c r="J683" s="1420"/>
      <c r="K683" s="1420"/>
      <c r="L683" s="1420"/>
      <c r="M683" s="1420"/>
      <c r="N683" s="1420"/>
      <c r="O683" s="1420"/>
      <c r="P683" s="1420"/>
      <c r="Q683" s="1420"/>
      <c r="R683" s="1420"/>
      <c r="T683" s="55" t="s">
        <v>364</v>
      </c>
      <c r="U683" t="s">
        <v>472</v>
      </c>
      <c r="Z683" s="1420">
        <f>C638</f>
        <v>0</v>
      </c>
      <c r="AA683" s="1420"/>
      <c r="AB683" s="1420"/>
      <c r="AC683" s="1420"/>
      <c r="AD683" s="1420"/>
      <c r="AE683" s="1420"/>
      <c r="AF683" s="1420"/>
      <c r="AG683" s="1420"/>
      <c r="AH683" s="1420"/>
      <c r="AI683" s="1420"/>
      <c r="AJ683" s="1420"/>
      <c r="AK683" s="142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21"/>
      <c r="H684" s="1421"/>
      <c r="I684" s="1421"/>
      <c r="J684" s="1421"/>
      <c r="K684" s="1421"/>
      <c r="L684" s="1421"/>
      <c r="M684" s="1421"/>
      <c r="N684" s="1421"/>
      <c r="O684" s="1421"/>
      <c r="P684" s="1421"/>
      <c r="Q684" s="1421"/>
      <c r="R684" s="1421"/>
      <c r="T684" s="22"/>
      <c r="U684" t="s">
        <v>85</v>
      </c>
      <c r="Z684" s="1421"/>
      <c r="AA684" s="1421"/>
      <c r="AB684" s="1421"/>
      <c r="AC684" s="1421"/>
      <c r="AD684" s="1421"/>
      <c r="AE684" s="1421"/>
      <c r="AF684" s="1421"/>
      <c r="AG684" s="1421"/>
      <c r="AH684" s="1421"/>
      <c r="AI684" s="1421"/>
      <c r="AJ684" s="1421"/>
      <c r="AK684" s="142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421"/>
      <c r="H685" s="1421"/>
      <c r="I685" s="1421"/>
      <c r="J685" s="1421"/>
      <c r="K685" s="1421"/>
      <c r="L685" s="1421"/>
      <c r="M685" s="1421"/>
      <c r="N685" s="1421"/>
      <c r="O685" s="1421"/>
      <c r="P685" s="1421"/>
      <c r="Q685" s="1421"/>
      <c r="R685" s="1421"/>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21"/>
      <c r="H686" s="1421"/>
      <c r="I686" s="1421"/>
      <c r="J686" s="1421"/>
      <c r="K686" s="1421"/>
      <c r="L686" s="1421"/>
      <c r="M686" s="1421"/>
      <c r="N686" s="1421"/>
      <c r="O686" s="1421"/>
      <c r="P686" s="1421"/>
      <c r="Q686" s="1421"/>
      <c r="R686" s="1421"/>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53"/>
      <c r="H687" s="1453"/>
      <c r="I687" s="1453"/>
      <c r="J687" s="1453"/>
      <c r="K687" s="1453"/>
      <c r="L687" s="1453"/>
      <c r="O687" s="33" t="s">
        <v>207</v>
      </c>
      <c r="P687" s="1419"/>
      <c r="Q687" s="1419"/>
      <c r="R687" s="1419"/>
      <c r="U687" t="s">
        <v>317</v>
      </c>
      <c r="Z687" s="1453"/>
      <c r="AA687" s="1453"/>
      <c r="AB687" s="1453"/>
      <c r="AC687" s="1453"/>
      <c r="AD687" s="1453"/>
      <c r="AE687" s="1453"/>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21"/>
      <c r="I688" s="1421"/>
      <c r="J688" s="1421"/>
      <c r="K688" s="1421"/>
      <c r="L688" s="1421"/>
      <c r="M688" s="1421"/>
      <c r="N688" s="1421"/>
      <c r="O688" s="1421"/>
      <c r="P688" s="1421"/>
      <c r="Q688" s="1421"/>
      <c r="R688" s="1421"/>
      <c r="U688" t="s">
        <v>18</v>
      </c>
      <c r="AA688" s="1421"/>
      <c r="AB688" s="1421"/>
      <c r="AC688" s="1421"/>
      <c r="AD688" s="1421"/>
      <c r="AE688" s="1421"/>
      <c r="AF688" s="1421"/>
      <c r="AG688" s="1421"/>
      <c r="AH688" s="1421"/>
      <c r="AI688" s="1421"/>
      <c r="AJ688" s="1421"/>
      <c r="AK688" s="142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29" t="s">
        <v>678</v>
      </c>
      <c r="O689" s="1429"/>
      <c r="U689" t="s">
        <v>20</v>
      </c>
      <c r="AG689" s="1429" t="s">
        <v>678</v>
      </c>
      <c r="AH689" s="142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29" t="s">
        <v>554</v>
      </c>
      <c r="AF693" s="142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29" t="s">
        <v>678</v>
      </c>
      <c r="AF694" s="142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485">
        <v>45531</v>
      </c>
      <c r="AF695" s="1485"/>
      <c r="AG695" s="1485"/>
      <c r="AH695" s="1485"/>
      <c r="AI695" s="148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768">
        <v>45637</v>
      </c>
      <c r="AF696" s="1768"/>
      <c r="AG696" s="1768"/>
      <c r="AH696" s="1768"/>
      <c r="AI696" s="176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485">
        <v>45731</v>
      </c>
      <c r="AF698" s="1485"/>
      <c r="AG698" s="1485"/>
      <c r="AH698" s="1485"/>
      <c r="AI698" s="148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67">
        <v>0.54369999999999996</v>
      </c>
      <c r="AF699" s="1767"/>
      <c r="AG699" s="1767"/>
      <c r="AH699" s="1767"/>
      <c r="AI699" s="176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420" t="str">
        <f>H335</f>
        <v>California Municipal Finance Authority</v>
      </c>
      <c r="X700" s="1420"/>
      <c r="Y700" s="1420"/>
      <c r="Z700" s="1420"/>
      <c r="AA700" s="1420"/>
      <c r="AB700" s="1420"/>
      <c r="AC700" s="1420"/>
      <c r="AD700" s="1420"/>
      <c r="AE700" s="1420"/>
      <c r="AF700" s="1420"/>
      <c r="AG700" s="1420"/>
      <c r="AH700" s="1420"/>
      <c r="AI700" s="1420"/>
      <c r="AJ700" s="1420"/>
      <c r="AK700" s="142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29" t="s">
        <v>678</v>
      </c>
      <c r="AF702" s="142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421"/>
      <c r="X703" s="1421"/>
      <c r="Y703" s="1421"/>
      <c r="Z703" s="1421"/>
      <c r="AA703" s="1421"/>
      <c r="AB703" s="1421"/>
      <c r="AC703" s="1421"/>
      <c r="AD703" s="1421"/>
      <c r="AE703" s="1421"/>
      <c r="AF703" s="1421"/>
      <c r="AG703" s="1421"/>
      <c r="AH703" s="1421"/>
      <c r="AI703" s="1421"/>
      <c r="AJ703" s="1421"/>
      <c r="AK703" s="1421"/>
      <c r="AZ703" s="34"/>
      <c r="BA703" s="34"/>
      <c r="BB703" s="34"/>
      <c r="BC703" s="34"/>
      <c r="BD703" s="34"/>
      <c r="BE703" s="3"/>
      <c r="BF703" s="312" t="s">
        <v>915</v>
      </c>
      <c r="BG703" s="321">
        <f>SUM(BG668:BG702)</f>
        <v>177</v>
      </c>
      <c r="BH703" s="322">
        <f>SUM(BH668:BH702)</f>
        <v>1</v>
      </c>
      <c r="BI703" s="322">
        <f>SUM(BI668:BI702)</f>
        <v>0.4994350282485876</v>
      </c>
      <c r="BN703" s="3"/>
      <c r="BO703" s="3"/>
      <c r="BT703" s="893">
        <f>SUM(BT668:BT702)</f>
        <v>177</v>
      </c>
      <c r="BU703" s="322">
        <f>SUM(BU668:BU702)</f>
        <v>1</v>
      </c>
      <c r="BV703" s="322">
        <f>SUM(BV668:BV702)</f>
        <v>0.49933958807338669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21"/>
      <c r="K704" s="1421"/>
      <c r="L704" s="1421"/>
      <c r="M704" s="1421"/>
      <c r="N704" s="1421"/>
      <c r="O704" s="1421"/>
      <c r="P704" s="1421"/>
      <c r="Q704" s="1421"/>
      <c r="R704" s="1421"/>
      <c r="S704" s="1421"/>
      <c r="T704" s="1421"/>
      <c r="U704" s="1421"/>
      <c r="V704" s="1421"/>
      <c r="W704" s="1421"/>
      <c r="X704" s="142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53"/>
      <c r="K705" s="1453"/>
      <c r="L705" s="1453"/>
      <c r="M705" s="1453"/>
      <c r="N705" s="1453"/>
      <c r="O705" s="1453"/>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421" t="s">
        <v>308</v>
      </c>
      <c r="X706" s="1421"/>
      <c r="Y706" s="1421"/>
      <c r="Z706" s="1421"/>
      <c r="AA706" s="1421"/>
      <c r="AB706" s="1421"/>
      <c r="AC706" s="1421"/>
      <c r="AD706" s="1421"/>
      <c r="AE706" s="1421"/>
      <c r="AF706" s="1421"/>
      <c r="AG706" s="1421"/>
      <c r="AH706" s="1421"/>
      <c r="AI706" s="1421"/>
      <c r="AJ706" s="1421"/>
      <c r="AK706" s="142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21" t="s">
        <v>335</v>
      </c>
      <c r="F707" s="1421"/>
      <c r="G707" s="1421"/>
      <c r="H707" s="1421"/>
      <c r="I707" s="1421"/>
      <c r="J707" s="1421"/>
      <c r="K707" s="1421"/>
      <c r="L707" s="1421"/>
      <c r="M707" s="1421"/>
      <c r="N707" s="1421"/>
      <c r="O707" s="1421"/>
      <c r="P707" s="1421"/>
      <c r="Q707" s="1421"/>
      <c r="R707" s="1421"/>
      <c r="S707" s="1421"/>
      <c r="T707" s="1421"/>
      <c r="U707" s="1421"/>
      <c r="V707" s="1421"/>
      <c r="W707" s="1421"/>
      <c r="X707" s="1421"/>
      <c r="Y707" s="1421"/>
      <c r="Z707" s="1421"/>
      <c r="AA707" s="1421"/>
      <c r="AB707" s="1421"/>
      <c r="AC707" s="1421"/>
      <c r="AD707" s="1421"/>
      <c r="AE707" s="1421"/>
      <c r="AF707" s="1421"/>
      <c r="AG707" s="1421"/>
      <c r="AH707" s="1421"/>
      <c r="AI707" s="1421"/>
      <c r="AJ707" s="1421"/>
      <c r="AK707" s="142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684" t="s">
        <v>390</v>
      </c>
      <c r="C714" s="1477"/>
      <c r="D714" s="1477"/>
      <c r="E714" s="1477"/>
      <c r="F714" s="1478"/>
      <c r="G714" s="1684" t="s">
        <v>286</v>
      </c>
      <c r="H714" s="1477"/>
      <c r="I714" s="1477"/>
      <c r="J714" s="1478"/>
      <c r="K714" s="1753" t="s">
        <v>1868</v>
      </c>
      <c r="L714" s="1754"/>
      <c r="M714" s="1754"/>
      <c r="N714" s="1755"/>
      <c r="O714" s="1684" t="s">
        <v>456</v>
      </c>
      <c r="P714" s="1477"/>
      <c r="Q714" s="1477"/>
      <c r="R714" s="1477"/>
      <c r="S714" s="1478"/>
      <c r="T714" s="1476" t="s">
        <v>2252</v>
      </c>
      <c r="U714" s="1477"/>
      <c r="V714" s="1477"/>
      <c r="W714" s="1478"/>
      <c r="X714" s="1476" t="s">
        <v>2254</v>
      </c>
      <c r="Y714" s="1477"/>
      <c r="Z714" s="1477"/>
      <c r="AA714" s="1477"/>
      <c r="AB714" s="1478"/>
      <c r="AC714" s="1476" t="s">
        <v>2253</v>
      </c>
      <c r="AD714" s="1477"/>
      <c r="AE714" s="1477"/>
      <c r="AF714" s="1477"/>
      <c r="AG714" s="1478"/>
      <c r="AH714" s="1476" t="s">
        <v>2255</v>
      </c>
      <c r="AI714" s="1477"/>
      <c r="AJ714" s="1478"/>
      <c r="AK714" s="1476" t="s">
        <v>2289</v>
      </c>
      <c r="AL714" s="1477"/>
      <c r="AM714" s="1477"/>
      <c r="AN714" s="1477"/>
      <c r="AO714" s="147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479"/>
      <c r="C715" s="1480"/>
      <c r="D715" s="1480"/>
      <c r="E715" s="1480"/>
      <c r="F715" s="1481"/>
      <c r="G715" s="1479"/>
      <c r="H715" s="1480"/>
      <c r="I715" s="1480"/>
      <c r="J715" s="1481"/>
      <c r="K715" s="1756"/>
      <c r="L715" s="1757"/>
      <c r="M715" s="1757"/>
      <c r="N715" s="1758"/>
      <c r="O715" s="1479"/>
      <c r="P715" s="1480"/>
      <c r="Q715" s="1480"/>
      <c r="R715" s="1480"/>
      <c r="S715" s="1481"/>
      <c r="T715" s="1479"/>
      <c r="U715" s="1480"/>
      <c r="V715" s="1480"/>
      <c r="W715" s="1481"/>
      <c r="X715" s="1479"/>
      <c r="Y715" s="1480"/>
      <c r="Z715" s="1480"/>
      <c r="AA715" s="1480"/>
      <c r="AB715" s="1481"/>
      <c r="AC715" s="1479"/>
      <c r="AD715" s="1480"/>
      <c r="AE715" s="1480"/>
      <c r="AF715" s="1480"/>
      <c r="AG715" s="1481"/>
      <c r="AH715" s="1479"/>
      <c r="AI715" s="1480"/>
      <c r="AJ715" s="1481"/>
      <c r="AK715" s="1479"/>
      <c r="AL715" s="1480"/>
      <c r="AM715" s="1480"/>
      <c r="AN715" s="1480"/>
      <c r="AO715" s="148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479"/>
      <c r="C716" s="1480"/>
      <c r="D716" s="1480"/>
      <c r="E716" s="1480"/>
      <c r="F716" s="1481"/>
      <c r="G716" s="1479"/>
      <c r="H716" s="1480"/>
      <c r="I716" s="1480"/>
      <c r="J716" s="1481"/>
      <c r="K716" s="1756"/>
      <c r="L716" s="1757"/>
      <c r="M716" s="1757"/>
      <c r="N716" s="1758"/>
      <c r="O716" s="1479"/>
      <c r="P716" s="1480"/>
      <c r="Q716" s="1480"/>
      <c r="R716" s="1480"/>
      <c r="S716" s="1481"/>
      <c r="T716" s="1479"/>
      <c r="U716" s="1480"/>
      <c r="V716" s="1480"/>
      <c r="W716" s="1481"/>
      <c r="X716" s="1479"/>
      <c r="Y716" s="1480"/>
      <c r="Z716" s="1480"/>
      <c r="AA716" s="1480"/>
      <c r="AB716" s="1481"/>
      <c r="AC716" s="1479"/>
      <c r="AD716" s="1480"/>
      <c r="AE716" s="1480"/>
      <c r="AF716" s="1480"/>
      <c r="AG716" s="1481"/>
      <c r="AH716" s="1479"/>
      <c r="AI716" s="1480"/>
      <c r="AJ716" s="1481"/>
      <c r="AK716" s="1479"/>
      <c r="AL716" s="1480"/>
      <c r="AM716" s="1480"/>
      <c r="AN716" s="1480"/>
      <c r="AO716" s="148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482"/>
      <c r="C717" s="1483"/>
      <c r="D717" s="1483"/>
      <c r="E717" s="1483"/>
      <c r="F717" s="1484"/>
      <c r="G717" s="1482"/>
      <c r="H717" s="1483"/>
      <c r="I717" s="1483"/>
      <c r="J717" s="1484"/>
      <c r="K717" s="1756"/>
      <c r="L717" s="1757"/>
      <c r="M717" s="1757"/>
      <c r="N717" s="1758"/>
      <c r="O717" s="1482"/>
      <c r="P717" s="1483"/>
      <c r="Q717" s="1483"/>
      <c r="R717" s="1483"/>
      <c r="S717" s="1484"/>
      <c r="T717" s="1482"/>
      <c r="U717" s="1483"/>
      <c r="V717" s="1483"/>
      <c r="W717" s="1484"/>
      <c r="X717" s="1482"/>
      <c r="Y717" s="1483"/>
      <c r="Z717" s="1483"/>
      <c r="AA717" s="1483"/>
      <c r="AB717" s="1484"/>
      <c r="AC717" s="1482"/>
      <c r="AD717" s="1483"/>
      <c r="AE717" s="1483"/>
      <c r="AF717" s="1483"/>
      <c r="AG717" s="1484"/>
      <c r="AH717" s="1482"/>
      <c r="AI717" s="1483"/>
      <c r="AJ717" s="1484"/>
      <c r="AK717" s="1482"/>
      <c r="AL717" s="1483"/>
      <c r="AM717" s="1483"/>
      <c r="AN717" s="1483"/>
      <c r="AO717" s="148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9" t="s">
        <v>325</v>
      </c>
      <c r="C718" s="1360"/>
      <c r="D718" s="1360"/>
      <c r="E718" s="1360"/>
      <c r="F718" s="1361"/>
      <c r="G718" s="1368">
        <v>45</v>
      </c>
      <c r="H718" s="1369"/>
      <c r="I718" s="1369"/>
      <c r="J718" s="1370"/>
      <c r="K718" s="1353">
        <f>57693/179</f>
        <v>322.3072625698324</v>
      </c>
      <c r="L718" s="1354"/>
      <c r="M718" s="1354"/>
      <c r="N718" s="1355"/>
      <c r="O718" s="1356">
        <v>685</v>
      </c>
      <c r="P718" s="1357"/>
      <c r="Q718" s="1357"/>
      <c r="R718" s="1357"/>
      <c r="S718" s="1358"/>
      <c r="T718" s="1356">
        <v>110</v>
      </c>
      <c r="U718" s="1357"/>
      <c r="V718" s="1357"/>
      <c r="W718" s="1358"/>
      <c r="X718" s="1365">
        <f t="shared" ref="X718:X741" si="59">O718+T718</f>
        <v>795</v>
      </c>
      <c r="Y718" s="1366"/>
      <c r="Z718" s="1366"/>
      <c r="AA718" s="1366"/>
      <c r="AB718" s="1367"/>
      <c r="AC718" s="1362">
        <v>0.3</v>
      </c>
      <c r="AD718" s="1363"/>
      <c r="AE718" s="1363"/>
      <c r="AF718" s="1363"/>
      <c r="AG718" s="1364"/>
      <c r="AH718" s="1473">
        <f t="shared" ref="AH718:AH751" si="60">IF($AC718&gt;0,($X718/$BA667), "")</f>
        <v>0.29977375565610859</v>
      </c>
      <c r="AI718" s="1474"/>
      <c r="AJ718" s="1475"/>
      <c r="AK718" s="1359" t="s">
        <v>600</v>
      </c>
      <c r="AL718" s="1360"/>
      <c r="AM718" s="1360"/>
      <c r="AN718" s="1360"/>
      <c r="AO718" s="136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9" t="s">
        <v>325</v>
      </c>
      <c r="C719" s="1360"/>
      <c r="D719" s="1360"/>
      <c r="E719" s="1360"/>
      <c r="F719" s="1361"/>
      <c r="G719" s="1368">
        <v>43</v>
      </c>
      <c r="H719" s="1369"/>
      <c r="I719" s="1369"/>
      <c r="J719" s="1370"/>
      <c r="K719" s="1353">
        <f t="shared" ref="K719:K720" si="61">57693/179</f>
        <v>322.3072625698324</v>
      </c>
      <c r="L719" s="1354"/>
      <c r="M719" s="1354"/>
      <c r="N719" s="1355"/>
      <c r="O719" s="1356">
        <v>1216</v>
      </c>
      <c r="P719" s="1357"/>
      <c r="Q719" s="1357"/>
      <c r="R719" s="1357"/>
      <c r="S719" s="1358"/>
      <c r="T719" s="1356">
        <v>110</v>
      </c>
      <c r="U719" s="1357"/>
      <c r="V719" s="1357"/>
      <c r="W719" s="1358"/>
      <c r="X719" s="1365">
        <f t="shared" si="59"/>
        <v>1326</v>
      </c>
      <c r="Y719" s="1366"/>
      <c r="Z719" s="1366"/>
      <c r="AA719" s="1366"/>
      <c r="AB719" s="1367"/>
      <c r="AC719" s="1362">
        <v>0.5</v>
      </c>
      <c r="AD719" s="1363"/>
      <c r="AE719" s="1363"/>
      <c r="AF719" s="1363"/>
      <c r="AG719" s="1364"/>
      <c r="AH719" s="1473">
        <f t="shared" si="60"/>
        <v>0.5</v>
      </c>
      <c r="AI719" s="1474"/>
      <c r="AJ719" s="1475"/>
      <c r="AK719" s="1359" t="s">
        <v>600</v>
      </c>
      <c r="AL719" s="1360"/>
      <c r="AM719" s="1360"/>
      <c r="AN719" s="1360"/>
      <c r="AO719" s="136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9" t="s">
        <v>325</v>
      </c>
      <c r="C720" s="1360"/>
      <c r="D720" s="1360"/>
      <c r="E720" s="1360"/>
      <c r="F720" s="1361"/>
      <c r="G720" s="1368">
        <v>89</v>
      </c>
      <c r="H720" s="1369"/>
      <c r="I720" s="1369"/>
      <c r="J720" s="1370"/>
      <c r="K720" s="1353">
        <f t="shared" si="61"/>
        <v>322.3072625698324</v>
      </c>
      <c r="L720" s="1354"/>
      <c r="M720" s="1354"/>
      <c r="N720" s="1355"/>
      <c r="O720" s="1356">
        <v>1481</v>
      </c>
      <c r="P720" s="1357"/>
      <c r="Q720" s="1357"/>
      <c r="R720" s="1357"/>
      <c r="S720" s="1358"/>
      <c r="T720" s="1356">
        <v>110</v>
      </c>
      <c r="U720" s="1357"/>
      <c r="V720" s="1357"/>
      <c r="W720" s="1358"/>
      <c r="X720" s="1365">
        <f t="shared" si="59"/>
        <v>1591</v>
      </c>
      <c r="Y720" s="1366"/>
      <c r="Z720" s="1366"/>
      <c r="AA720" s="1366"/>
      <c r="AB720" s="1367"/>
      <c r="AC720" s="1362">
        <v>0.6</v>
      </c>
      <c r="AD720" s="1363"/>
      <c r="AE720" s="1363"/>
      <c r="AF720" s="1363"/>
      <c r="AG720" s="1364"/>
      <c r="AH720" s="1473">
        <f t="shared" si="60"/>
        <v>0.59992458521870284</v>
      </c>
      <c r="AI720" s="1474"/>
      <c r="AJ720" s="1475"/>
      <c r="AK720" s="1359" t="s">
        <v>600</v>
      </c>
      <c r="AL720" s="1360"/>
      <c r="AM720" s="1360"/>
      <c r="AN720" s="1360"/>
      <c r="AO720" s="136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9"/>
      <c r="C721" s="1360"/>
      <c r="D721" s="1360"/>
      <c r="E721" s="1360"/>
      <c r="F721" s="1361"/>
      <c r="G721" s="1368"/>
      <c r="H721" s="1369"/>
      <c r="I721" s="1369"/>
      <c r="J721" s="1370"/>
      <c r="K721" s="1353"/>
      <c r="L721" s="1354"/>
      <c r="M721" s="1354"/>
      <c r="N721" s="1355"/>
      <c r="O721" s="1356"/>
      <c r="P721" s="1357"/>
      <c r="Q721" s="1357"/>
      <c r="R721" s="1357"/>
      <c r="S721" s="1358"/>
      <c r="T721" s="1356"/>
      <c r="U721" s="1357"/>
      <c r="V721" s="1357"/>
      <c r="W721" s="1358"/>
      <c r="X721" s="1365">
        <f t="shared" si="59"/>
        <v>0</v>
      </c>
      <c r="Y721" s="1366"/>
      <c r="Z721" s="1366"/>
      <c r="AA721" s="1366"/>
      <c r="AB721" s="1367"/>
      <c r="AC721" s="1362"/>
      <c r="AD721" s="1363"/>
      <c r="AE721" s="1363"/>
      <c r="AF721" s="1363"/>
      <c r="AG721" s="1364"/>
      <c r="AH721" s="1473" t="str">
        <f t="shared" si="60"/>
        <v/>
      </c>
      <c r="AI721" s="1474"/>
      <c r="AJ721" s="1475"/>
      <c r="AK721" s="1359" t="s">
        <v>600</v>
      </c>
      <c r="AL721" s="1360"/>
      <c r="AM721" s="1360"/>
      <c r="AN721" s="1360"/>
      <c r="AO721" s="1361"/>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9"/>
      <c r="C722" s="1360"/>
      <c r="D722" s="1360"/>
      <c r="E722" s="1360"/>
      <c r="F722" s="1361"/>
      <c r="G722" s="1368"/>
      <c r="H722" s="1369"/>
      <c r="I722" s="1369"/>
      <c r="J722" s="1370"/>
      <c r="K722" s="1353"/>
      <c r="L722" s="1354"/>
      <c r="M722" s="1354"/>
      <c r="N722" s="1355"/>
      <c r="O722" s="1356"/>
      <c r="P722" s="1357"/>
      <c r="Q722" s="1357"/>
      <c r="R722" s="1357"/>
      <c r="S722" s="1358"/>
      <c r="T722" s="1356"/>
      <c r="U722" s="1357"/>
      <c r="V722" s="1357"/>
      <c r="W722" s="1358"/>
      <c r="X722" s="1365">
        <f t="shared" si="59"/>
        <v>0</v>
      </c>
      <c r="Y722" s="1366"/>
      <c r="Z722" s="1366"/>
      <c r="AA722" s="1366"/>
      <c r="AB722" s="1367"/>
      <c r="AC722" s="1362"/>
      <c r="AD722" s="1363"/>
      <c r="AE722" s="1363"/>
      <c r="AF722" s="1363"/>
      <c r="AG722" s="1364"/>
      <c r="AH722" s="1473" t="str">
        <f t="shared" si="60"/>
        <v/>
      </c>
      <c r="AI722" s="1474"/>
      <c r="AJ722" s="1475"/>
      <c r="AK722" s="1359" t="s">
        <v>600</v>
      </c>
      <c r="AL722" s="1360"/>
      <c r="AM722" s="1360"/>
      <c r="AN722" s="1360"/>
      <c r="AO722" s="1361"/>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9"/>
      <c r="C723" s="1360"/>
      <c r="D723" s="1360"/>
      <c r="E723" s="1360"/>
      <c r="F723" s="1361"/>
      <c r="G723" s="1368"/>
      <c r="H723" s="1369"/>
      <c r="I723" s="1369"/>
      <c r="J723" s="1370"/>
      <c r="K723" s="1353"/>
      <c r="L723" s="1354"/>
      <c r="M723" s="1354"/>
      <c r="N723" s="1355"/>
      <c r="O723" s="1356"/>
      <c r="P723" s="1357"/>
      <c r="Q723" s="1357"/>
      <c r="R723" s="1357"/>
      <c r="S723" s="1358"/>
      <c r="T723" s="1356"/>
      <c r="U723" s="1357"/>
      <c r="V723" s="1357"/>
      <c r="W723" s="1358"/>
      <c r="X723" s="1365">
        <f t="shared" si="59"/>
        <v>0</v>
      </c>
      <c r="Y723" s="1366"/>
      <c r="Z723" s="1366"/>
      <c r="AA723" s="1366"/>
      <c r="AB723" s="1367"/>
      <c r="AC723" s="1362"/>
      <c r="AD723" s="1363"/>
      <c r="AE723" s="1363"/>
      <c r="AF723" s="1363"/>
      <c r="AG723" s="1364"/>
      <c r="AH723" s="1473" t="str">
        <f t="shared" si="60"/>
        <v/>
      </c>
      <c r="AI723" s="1474"/>
      <c r="AJ723" s="1475"/>
      <c r="AK723" s="1359" t="s">
        <v>600</v>
      </c>
      <c r="AL723" s="1360"/>
      <c r="AM723" s="1360"/>
      <c r="AN723" s="1360"/>
      <c r="AO723" s="1361"/>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9"/>
      <c r="C724" s="1360"/>
      <c r="D724" s="1360"/>
      <c r="E724" s="1360"/>
      <c r="F724" s="1361"/>
      <c r="G724" s="1368"/>
      <c r="H724" s="1369"/>
      <c r="I724" s="1369"/>
      <c r="J724" s="1370"/>
      <c r="K724" s="1353"/>
      <c r="L724" s="1354"/>
      <c r="M724" s="1354"/>
      <c r="N724" s="1355"/>
      <c r="O724" s="1356"/>
      <c r="P724" s="1357"/>
      <c r="Q724" s="1357"/>
      <c r="R724" s="1357"/>
      <c r="S724" s="1358"/>
      <c r="T724" s="1356"/>
      <c r="U724" s="1357"/>
      <c r="V724" s="1357"/>
      <c r="W724" s="1358"/>
      <c r="X724" s="1365">
        <f t="shared" si="59"/>
        <v>0</v>
      </c>
      <c r="Y724" s="1366"/>
      <c r="Z724" s="1366"/>
      <c r="AA724" s="1366"/>
      <c r="AB724" s="1367"/>
      <c r="AC724" s="1362"/>
      <c r="AD724" s="1363"/>
      <c r="AE724" s="1363"/>
      <c r="AF724" s="1363"/>
      <c r="AG724" s="1364"/>
      <c r="AH724" s="1473" t="str">
        <f t="shared" si="60"/>
        <v/>
      </c>
      <c r="AI724" s="1474"/>
      <c r="AJ724" s="1475"/>
      <c r="AK724" s="1359" t="s">
        <v>600</v>
      </c>
      <c r="AL724" s="1360"/>
      <c r="AM724" s="1360"/>
      <c r="AN724" s="1360"/>
      <c r="AO724" s="1361"/>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9"/>
      <c r="C725" s="1360"/>
      <c r="D725" s="1360"/>
      <c r="E725" s="1360"/>
      <c r="F725" s="1361"/>
      <c r="G725" s="1368"/>
      <c r="H725" s="1369"/>
      <c r="I725" s="1369"/>
      <c r="J725" s="1370"/>
      <c r="K725" s="1353"/>
      <c r="L725" s="1354"/>
      <c r="M725" s="1354"/>
      <c r="N725" s="1355"/>
      <c r="O725" s="1356"/>
      <c r="P725" s="1357"/>
      <c r="Q725" s="1357"/>
      <c r="R725" s="1357"/>
      <c r="S725" s="1358"/>
      <c r="T725" s="1356"/>
      <c r="U725" s="1357"/>
      <c r="V725" s="1357"/>
      <c r="W725" s="1358"/>
      <c r="X725" s="1365">
        <f t="shared" si="59"/>
        <v>0</v>
      </c>
      <c r="Y725" s="1366"/>
      <c r="Z725" s="1366"/>
      <c r="AA725" s="1366"/>
      <c r="AB725" s="1367"/>
      <c r="AC725" s="1362"/>
      <c r="AD725" s="1363"/>
      <c r="AE725" s="1363"/>
      <c r="AF725" s="1363"/>
      <c r="AG725" s="1364"/>
      <c r="AH725" s="1473" t="str">
        <f t="shared" si="60"/>
        <v/>
      </c>
      <c r="AI725" s="1474"/>
      <c r="AJ725" s="1475"/>
      <c r="AK725" s="1359" t="s">
        <v>600</v>
      </c>
      <c r="AL725" s="1360"/>
      <c r="AM725" s="1360"/>
      <c r="AN725" s="1360"/>
      <c r="AO725" s="1361"/>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9"/>
      <c r="C726" s="1360"/>
      <c r="D726" s="1360"/>
      <c r="E726" s="1360"/>
      <c r="F726" s="1361"/>
      <c r="G726" s="1368"/>
      <c r="H726" s="1369"/>
      <c r="I726" s="1369"/>
      <c r="J726" s="1370"/>
      <c r="K726" s="1353"/>
      <c r="L726" s="1354"/>
      <c r="M726" s="1354"/>
      <c r="N726" s="1355"/>
      <c r="O726" s="1356"/>
      <c r="P726" s="1357"/>
      <c r="Q726" s="1357"/>
      <c r="R726" s="1357"/>
      <c r="S726" s="1358"/>
      <c r="T726" s="1356"/>
      <c r="U726" s="1357"/>
      <c r="V726" s="1357"/>
      <c r="W726" s="1358"/>
      <c r="X726" s="1365">
        <f t="shared" si="59"/>
        <v>0</v>
      </c>
      <c r="Y726" s="1366"/>
      <c r="Z726" s="1366"/>
      <c r="AA726" s="1366"/>
      <c r="AB726" s="1367"/>
      <c r="AC726" s="1362"/>
      <c r="AD726" s="1363"/>
      <c r="AE726" s="1363"/>
      <c r="AF726" s="1363"/>
      <c r="AG726" s="1364"/>
      <c r="AH726" s="1473" t="str">
        <f t="shared" si="60"/>
        <v/>
      </c>
      <c r="AI726" s="1474"/>
      <c r="AJ726" s="1475"/>
      <c r="AK726" s="1359" t="s">
        <v>600</v>
      </c>
      <c r="AL726" s="1360"/>
      <c r="AM726" s="1360"/>
      <c r="AN726" s="1360"/>
      <c r="AO726" s="1361"/>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9"/>
      <c r="C727" s="1360"/>
      <c r="D727" s="1360"/>
      <c r="E727" s="1360"/>
      <c r="F727" s="1361"/>
      <c r="G727" s="1368"/>
      <c r="H727" s="1369"/>
      <c r="I727" s="1369"/>
      <c r="J727" s="1370"/>
      <c r="K727" s="1353"/>
      <c r="L727" s="1354"/>
      <c r="M727" s="1354"/>
      <c r="N727" s="1355"/>
      <c r="O727" s="1356"/>
      <c r="P727" s="1357"/>
      <c r="Q727" s="1357"/>
      <c r="R727" s="1357"/>
      <c r="S727" s="1358"/>
      <c r="T727" s="1356"/>
      <c r="U727" s="1357"/>
      <c r="V727" s="1357"/>
      <c r="W727" s="1358"/>
      <c r="X727" s="1365">
        <f t="shared" si="59"/>
        <v>0</v>
      </c>
      <c r="Y727" s="1366"/>
      <c r="Z727" s="1366"/>
      <c r="AA727" s="1366"/>
      <c r="AB727" s="1367"/>
      <c r="AC727" s="1362"/>
      <c r="AD727" s="1363"/>
      <c r="AE727" s="1363"/>
      <c r="AF727" s="1363"/>
      <c r="AG727" s="1364"/>
      <c r="AH727" s="1473" t="str">
        <f t="shared" si="60"/>
        <v/>
      </c>
      <c r="AI727" s="1474"/>
      <c r="AJ727" s="1475"/>
      <c r="AK727" s="1359" t="s">
        <v>600</v>
      </c>
      <c r="AL727" s="1360"/>
      <c r="AM727" s="1360"/>
      <c r="AN727" s="1360"/>
      <c r="AO727" s="1361"/>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9"/>
      <c r="C728" s="1360"/>
      <c r="D728" s="1360"/>
      <c r="E728" s="1360"/>
      <c r="F728" s="1361"/>
      <c r="G728" s="1368"/>
      <c r="H728" s="1369"/>
      <c r="I728" s="1369"/>
      <c r="J728" s="1370"/>
      <c r="K728" s="1353"/>
      <c r="L728" s="1354"/>
      <c r="M728" s="1354"/>
      <c r="N728" s="1355"/>
      <c r="O728" s="1356"/>
      <c r="P728" s="1357"/>
      <c r="Q728" s="1357"/>
      <c r="R728" s="1357"/>
      <c r="S728" s="1358"/>
      <c r="T728" s="1356"/>
      <c r="U728" s="1357"/>
      <c r="V728" s="1357"/>
      <c r="W728" s="1358"/>
      <c r="X728" s="1365">
        <f t="shared" si="59"/>
        <v>0</v>
      </c>
      <c r="Y728" s="1366"/>
      <c r="Z728" s="1366"/>
      <c r="AA728" s="1366"/>
      <c r="AB728" s="1367"/>
      <c r="AC728" s="1362"/>
      <c r="AD728" s="1363"/>
      <c r="AE728" s="1363"/>
      <c r="AF728" s="1363"/>
      <c r="AG728" s="1364"/>
      <c r="AH728" s="1473" t="str">
        <f t="shared" si="60"/>
        <v/>
      </c>
      <c r="AI728" s="1474"/>
      <c r="AJ728" s="1475"/>
      <c r="AK728" s="1359" t="s">
        <v>600</v>
      </c>
      <c r="AL728" s="1360"/>
      <c r="AM728" s="1360"/>
      <c r="AN728" s="1360"/>
      <c r="AO728" s="1361"/>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9"/>
      <c r="C729" s="1360"/>
      <c r="D729" s="1360"/>
      <c r="E729" s="1360"/>
      <c r="F729" s="1361"/>
      <c r="G729" s="1368"/>
      <c r="H729" s="1369"/>
      <c r="I729" s="1369"/>
      <c r="J729" s="1370"/>
      <c r="K729" s="1353"/>
      <c r="L729" s="1354"/>
      <c r="M729" s="1354"/>
      <c r="N729" s="1355"/>
      <c r="O729" s="1356"/>
      <c r="P729" s="1357"/>
      <c r="Q729" s="1357"/>
      <c r="R729" s="1357"/>
      <c r="S729" s="1358"/>
      <c r="T729" s="1356"/>
      <c r="U729" s="1357"/>
      <c r="V729" s="1357"/>
      <c r="W729" s="1358"/>
      <c r="X729" s="1365">
        <f t="shared" si="59"/>
        <v>0</v>
      </c>
      <c r="Y729" s="1366"/>
      <c r="Z729" s="1366"/>
      <c r="AA729" s="1366"/>
      <c r="AB729" s="1367"/>
      <c r="AC729" s="1362"/>
      <c r="AD729" s="1363"/>
      <c r="AE729" s="1363"/>
      <c r="AF729" s="1363"/>
      <c r="AG729" s="1364"/>
      <c r="AH729" s="1473" t="str">
        <f t="shared" si="60"/>
        <v/>
      </c>
      <c r="AI729" s="1474"/>
      <c r="AJ729" s="1475"/>
      <c r="AK729" s="1359" t="s">
        <v>600</v>
      </c>
      <c r="AL729" s="1360"/>
      <c r="AM729" s="1360"/>
      <c r="AN729" s="1360"/>
      <c r="AO729" s="1361"/>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9"/>
      <c r="C730" s="1360"/>
      <c r="D730" s="1360"/>
      <c r="E730" s="1360"/>
      <c r="F730" s="1361"/>
      <c r="G730" s="1368"/>
      <c r="H730" s="1369"/>
      <c r="I730" s="1369"/>
      <c r="J730" s="1370"/>
      <c r="K730" s="1353"/>
      <c r="L730" s="1354"/>
      <c r="M730" s="1354"/>
      <c r="N730" s="1355"/>
      <c r="O730" s="1356"/>
      <c r="P730" s="1357"/>
      <c r="Q730" s="1357"/>
      <c r="R730" s="1357"/>
      <c r="S730" s="1358"/>
      <c r="T730" s="1356"/>
      <c r="U730" s="1357"/>
      <c r="V730" s="1357"/>
      <c r="W730" s="1358"/>
      <c r="X730" s="1365">
        <f t="shared" si="59"/>
        <v>0</v>
      </c>
      <c r="Y730" s="1366"/>
      <c r="Z730" s="1366"/>
      <c r="AA730" s="1366"/>
      <c r="AB730" s="1367"/>
      <c r="AC730" s="1362"/>
      <c r="AD730" s="1363"/>
      <c r="AE730" s="1363"/>
      <c r="AF730" s="1363"/>
      <c r="AG730" s="1364"/>
      <c r="AH730" s="1473" t="str">
        <f t="shared" si="60"/>
        <v/>
      </c>
      <c r="AI730" s="1474"/>
      <c r="AJ730" s="1475"/>
      <c r="AK730" s="1359" t="s">
        <v>600</v>
      </c>
      <c r="AL730" s="1360"/>
      <c r="AM730" s="1360"/>
      <c r="AN730" s="1360"/>
      <c r="AO730" s="1361"/>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9"/>
      <c r="C731" s="1360"/>
      <c r="D731" s="1360"/>
      <c r="E731" s="1360"/>
      <c r="F731" s="1361"/>
      <c r="G731" s="1368"/>
      <c r="H731" s="1369"/>
      <c r="I731" s="1369"/>
      <c r="J731" s="1370"/>
      <c r="K731" s="1353"/>
      <c r="L731" s="1354"/>
      <c r="M731" s="1354"/>
      <c r="N731" s="1355"/>
      <c r="O731" s="1356"/>
      <c r="P731" s="1357"/>
      <c r="Q731" s="1357"/>
      <c r="R731" s="1357"/>
      <c r="S731" s="1358"/>
      <c r="T731" s="1356"/>
      <c r="U731" s="1357"/>
      <c r="V731" s="1357"/>
      <c r="W731" s="1358"/>
      <c r="X731" s="1365">
        <f t="shared" si="59"/>
        <v>0</v>
      </c>
      <c r="Y731" s="1366"/>
      <c r="Z731" s="1366"/>
      <c r="AA731" s="1366"/>
      <c r="AB731" s="1367"/>
      <c r="AC731" s="1362"/>
      <c r="AD731" s="1363"/>
      <c r="AE731" s="1363"/>
      <c r="AF731" s="1363"/>
      <c r="AG731" s="1364"/>
      <c r="AH731" s="1473" t="str">
        <f t="shared" si="60"/>
        <v/>
      </c>
      <c r="AI731" s="1474"/>
      <c r="AJ731" s="1475"/>
      <c r="AK731" s="1359" t="s">
        <v>600</v>
      </c>
      <c r="AL731" s="1360"/>
      <c r="AM731" s="1360"/>
      <c r="AN731" s="1360"/>
      <c r="AO731" s="1361"/>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9"/>
      <c r="C732" s="1360"/>
      <c r="D732" s="1360"/>
      <c r="E732" s="1360"/>
      <c r="F732" s="1361"/>
      <c r="G732" s="1368"/>
      <c r="H732" s="1369"/>
      <c r="I732" s="1369"/>
      <c r="J732" s="1370"/>
      <c r="K732" s="1353"/>
      <c r="L732" s="1354"/>
      <c r="M732" s="1354"/>
      <c r="N732" s="1355"/>
      <c r="O732" s="1356"/>
      <c r="P732" s="1357"/>
      <c r="Q732" s="1357"/>
      <c r="R732" s="1357"/>
      <c r="S732" s="1358"/>
      <c r="T732" s="1356"/>
      <c r="U732" s="1357"/>
      <c r="V732" s="1357"/>
      <c r="W732" s="1358"/>
      <c r="X732" s="1365">
        <f t="shared" si="59"/>
        <v>0</v>
      </c>
      <c r="Y732" s="1366"/>
      <c r="Z732" s="1366"/>
      <c r="AA732" s="1366"/>
      <c r="AB732" s="1367"/>
      <c r="AC732" s="1362"/>
      <c r="AD732" s="1363"/>
      <c r="AE732" s="1363"/>
      <c r="AF732" s="1363"/>
      <c r="AG732" s="1364"/>
      <c r="AH732" s="1473" t="str">
        <f t="shared" si="60"/>
        <v/>
      </c>
      <c r="AI732" s="1474"/>
      <c r="AJ732" s="1475"/>
      <c r="AK732" s="1359" t="s">
        <v>600</v>
      </c>
      <c r="AL732" s="1360"/>
      <c r="AM732" s="1360"/>
      <c r="AN732" s="1360"/>
      <c r="AO732" s="1361"/>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9"/>
      <c r="C733" s="1360"/>
      <c r="D733" s="1360"/>
      <c r="E733" s="1360"/>
      <c r="F733" s="1361"/>
      <c r="G733" s="1368"/>
      <c r="H733" s="1369"/>
      <c r="I733" s="1369"/>
      <c r="J733" s="1370"/>
      <c r="K733" s="1353"/>
      <c r="L733" s="1354"/>
      <c r="M733" s="1354"/>
      <c r="N733" s="1355"/>
      <c r="O733" s="1356"/>
      <c r="P733" s="1357"/>
      <c r="Q733" s="1357"/>
      <c r="R733" s="1357"/>
      <c r="S733" s="1358"/>
      <c r="T733" s="1356"/>
      <c r="U733" s="1357"/>
      <c r="V733" s="1357"/>
      <c r="W733" s="1358"/>
      <c r="X733" s="1365">
        <f t="shared" si="59"/>
        <v>0</v>
      </c>
      <c r="Y733" s="1366"/>
      <c r="Z733" s="1366"/>
      <c r="AA733" s="1366"/>
      <c r="AB733" s="1367"/>
      <c r="AC733" s="1362"/>
      <c r="AD733" s="1363"/>
      <c r="AE733" s="1363"/>
      <c r="AF733" s="1363"/>
      <c r="AG733" s="1364"/>
      <c r="AH733" s="1473" t="str">
        <f t="shared" si="60"/>
        <v/>
      </c>
      <c r="AI733" s="1474"/>
      <c r="AJ733" s="1475"/>
      <c r="AK733" s="1359" t="s">
        <v>600</v>
      </c>
      <c r="AL733" s="1360"/>
      <c r="AM733" s="1360"/>
      <c r="AN733" s="1360"/>
      <c r="AO733" s="1361"/>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9"/>
      <c r="C734" s="1360"/>
      <c r="D734" s="1360"/>
      <c r="E734" s="1360"/>
      <c r="F734" s="1361"/>
      <c r="G734" s="1368"/>
      <c r="H734" s="1369"/>
      <c r="I734" s="1369"/>
      <c r="J734" s="1370"/>
      <c r="K734" s="1353"/>
      <c r="L734" s="1354"/>
      <c r="M734" s="1354"/>
      <c r="N734" s="1355"/>
      <c r="O734" s="1356"/>
      <c r="P734" s="1357"/>
      <c r="Q734" s="1357"/>
      <c r="R734" s="1357"/>
      <c r="S734" s="1358"/>
      <c r="T734" s="1356"/>
      <c r="U734" s="1357"/>
      <c r="V734" s="1357"/>
      <c r="W734" s="1358"/>
      <c r="X734" s="1365">
        <f t="shared" si="59"/>
        <v>0</v>
      </c>
      <c r="Y734" s="1366"/>
      <c r="Z734" s="1366"/>
      <c r="AA734" s="1366"/>
      <c r="AB734" s="1367"/>
      <c r="AC734" s="1362"/>
      <c r="AD734" s="1363"/>
      <c r="AE734" s="1363"/>
      <c r="AF734" s="1363"/>
      <c r="AG734" s="1364"/>
      <c r="AH734" s="1473" t="str">
        <f t="shared" si="60"/>
        <v/>
      </c>
      <c r="AI734" s="1474"/>
      <c r="AJ734" s="1475"/>
      <c r="AK734" s="1359" t="s">
        <v>600</v>
      </c>
      <c r="AL734" s="1360"/>
      <c r="AM734" s="1360"/>
      <c r="AN734" s="1360"/>
      <c r="AO734" s="1361"/>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9"/>
      <c r="C735" s="1360"/>
      <c r="D735" s="1360"/>
      <c r="E735" s="1360"/>
      <c r="F735" s="1361"/>
      <c r="G735" s="1368"/>
      <c r="H735" s="1369"/>
      <c r="I735" s="1369"/>
      <c r="J735" s="1370"/>
      <c r="K735" s="1353"/>
      <c r="L735" s="1354"/>
      <c r="M735" s="1354"/>
      <c r="N735" s="1355"/>
      <c r="O735" s="1356"/>
      <c r="P735" s="1357"/>
      <c r="Q735" s="1357"/>
      <c r="R735" s="1357"/>
      <c r="S735" s="1358"/>
      <c r="T735" s="1356"/>
      <c r="U735" s="1357"/>
      <c r="V735" s="1357"/>
      <c r="W735" s="1358"/>
      <c r="X735" s="1365">
        <f t="shared" si="59"/>
        <v>0</v>
      </c>
      <c r="Y735" s="1366"/>
      <c r="Z735" s="1366"/>
      <c r="AA735" s="1366"/>
      <c r="AB735" s="1367"/>
      <c r="AC735" s="1362"/>
      <c r="AD735" s="1363"/>
      <c r="AE735" s="1363"/>
      <c r="AF735" s="1363"/>
      <c r="AG735" s="1364"/>
      <c r="AH735" s="1473" t="str">
        <f t="shared" si="60"/>
        <v/>
      </c>
      <c r="AI735" s="1474"/>
      <c r="AJ735" s="1475"/>
      <c r="AK735" s="1359" t="s">
        <v>600</v>
      </c>
      <c r="AL735" s="1360"/>
      <c r="AM735" s="1360"/>
      <c r="AN735" s="1360"/>
      <c r="AO735" s="1361"/>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9"/>
      <c r="C736" s="1360"/>
      <c r="D736" s="1360"/>
      <c r="E736" s="1360"/>
      <c r="F736" s="1361"/>
      <c r="G736" s="1368"/>
      <c r="H736" s="1369"/>
      <c r="I736" s="1369"/>
      <c r="J736" s="1370"/>
      <c r="K736" s="1353"/>
      <c r="L736" s="1354"/>
      <c r="M736" s="1354"/>
      <c r="N736" s="1355"/>
      <c r="O736" s="1356"/>
      <c r="P736" s="1357"/>
      <c r="Q736" s="1357"/>
      <c r="R736" s="1357"/>
      <c r="S736" s="1358"/>
      <c r="T736" s="1356"/>
      <c r="U736" s="1357"/>
      <c r="V736" s="1357"/>
      <c r="W736" s="1358"/>
      <c r="X736" s="1365">
        <f t="shared" si="59"/>
        <v>0</v>
      </c>
      <c r="Y736" s="1366"/>
      <c r="Z736" s="1366"/>
      <c r="AA736" s="1366"/>
      <c r="AB736" s="1367"/>
      <c r="AC736" s="1362"/>
      <c r="AD736" s="1363"/>
      <c r="AE736" s="1363"/>
      <c r="AF736" s="1363"/>
      <c r="AG736" s="1364"/>
      <c r="AH736" s="1473" t="str">
        <f t="shared" si="60"/>
        <v/>
      </c>
      <c r="AI736" s="1474"/>
      <c r="AJ736" s="1475"/>
      <c r="AK736" s="1359" t="s">
        <v>600</v>
      </c>
      <c r="AL736" s="1360"/>
      <c r="AM736" s="1360"/>
      <c r="AN736" s="1360"/>
      <c r="AO736" s="1361"/>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9"/>
      <c r="C737" s="1360"/>
      <c r="D737" s="1360"/>
      <c r="E737" s="1360"/>
      <c r="F737" s="1361"/>
      <c r="G737" s="1368"/>
      <c r="H737" s="1369"/>
      <c r="I737" s="1369"/>
      <c r="J737" s="1370"/>
      <c r="K737" s="1353"/>
      <c r="L737" s="1354"/>
      <c r="M737" s="1354"/>
      <c r="N737" s="1355"/>
      <c r="O737" s="1356"/>
      <c r="P737" s="1357"/>
      <c r="Q737" s="1357"/>
      <c r="R737" s="1357"/>
      <c r="S737" s="1358"/>
      <c r="T737" s="1356"/>
      <c r="U737" s="1357"/>
      <c r="V737" s="1357"/>
      <c r="W737" s="1358"/>
      <c r="X737" s="1365">
        <f t="shared" si="59"/>
        <v>0</v>
      </c>
      <c r="Y737" s="1366"/>
      <c r="Z737" s="1366"/>
      <c r="AA737" s="1366"/>
      <c r="AB737" s="1367"/>
      <c r="AC737" s="1362"/>
      <c r="AD737" s="1363"/>
      <c r="AE737" s="1363"/>
      <c r="AF737" s="1363"/>
      <c r="AG737" s="1364"/>
      <c r="AH737" s="1473" t="str">
        <f t="shared" si="60"/>
        <v/>
      </c>
      <c r="AI737" s="1474"/>
      <c r="AJ737" s="1475"/>
      <c r="AK737" s="1359" t="s">
        <v>600</v>
      </c>
      <c r="AL737" s="1360"/>
      <c r="AM737" s="1360"/>
      <c r="AN737" s="1360"/>
      <c r="AO737" s="1361"/>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9"/>
      <c r="C738" s="1360"/>
      <c r="D738" s="1360"/>
      <c r="E738" s="1360"/>
      <c r="F738" s="1361"/>
      <c r="G738" s="1368"/>
      <c r="H738" s="1369"/>
      <c r="I738" s="1369"/>
      <c r="J738" s="1370"/>
      <c r="K738" s="1353"/>
      <c r="L738" s="1354"/>
      <c r="M738" s="1354"/>
      <c r="N738" s="1355"/>
      <c r="O738" s="1356"/>
      <c r="P738" s="1357"/>
      <c r="Q738" s="1357"/>
      <c r="R738" s="1357"/>
      <c r="S738" s="1358"/>
      <c r="T738" s="1356"/>
      <c r="U738" s="1357"/>
      <c r="V738" s="1357"/>
      <c r="W738" s="1358"/>
      <c r="X738" s="1365">
        <f t="shared" si="59"/>
        <v>0</v>
      </c>
      <c r="Y738" s="1366"/>
      <c r="Z738" s="1366"/>
      <c r="AA738" s="1366"/>
      <c r="AB738" s="1367"/>
      <c r="AC738" s="1362"/>
      <c r="AD738" s="1363"/>
      <c r="AE738" s="1363"/>
      <c r="AF738" s="1363"/>
      <c r="AG738" s="1364"/>
      <c r="AH738" s="1473" t="str">
        <f t="shared" si="60"/>
        <v/>
      </c>
      <c r="AI738" s="1474"/>
      <c r="AJ738" s="1475"/>
      <c r="AK738" s="1359" t="s">
        <v>600</v>
      </c>
      <c r="AL738" s="1360"/>
      <c r="AM738" s="1360"/>
      <c r="AN738" s="1360"/>
      <c r="AO738" s="1361"/>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9"/>
      <c r="C739" s="1360"/>
      <c r="D739" s="1360"/>
      <c r="E739" s="1360"/>
      <c r="F739" s="1361"/>
      <c r="G739" s="1368"/>
      <c r="H739" s="1369"/>
      <c r="I739" s="1369"/>
      <c r="J739" s="1370"/>
      <c r="K739" s="1353"/>
      <c r="L739" s="1354"/>
      <c r="M739" s="1354"/>
      <c r="N739" s="1355"/>
      <c r="O739" s="1356"/>
      <c r="P739" s="1357"/>
      <c r="Q739" s="1357"/>
      <c r="R739" s="1357"/>
      <c r="S739" s="1358"/>
      <c r="T739" s="1356"/>
      <c r="U739" s="1357"/>
      <c r="V739" s="1357"/>
      <c r="W739" s="1358"/>
      <c r="X739" s="1365">
        <f t="shared" si="59"/>
        <v>0</v>
      </c>
      <c r="Y739" s="1366"/>
      <c r="Z739" s="1366"/>
      <c r="AA739" s="1366"/>
      <c r="AB739" s="1367"/>
      <c r="AC739" s="1362"/>
      <c r="AD739" s="1363"/>
      <c r="AE739" s="1363"/>
      <c r="AF739" s="1363"/>
      <c r="AG739" s="1364"/>
      <c r="AH739" s="1473" t="str">
        <f t="shared" si="60"/>
        <v/>
      </c>
      <c r="AI739" s="1474"/>
      <c r="AJ739" s="1475"/>
      <c r="AK739" s="1359" t="s">
        <v>600</v>
      </c>
      <c r="AL739" s="1360"/>
      <c r="AM739" s="1360"/>
      <c r="AN739" s="1360"/>
      <c r="AO739" s="1361"/>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9"/>
      <c r="C740" s="1360"/>
      <c r="D740" s="1360"/>
      <c r="E740" s="1360"/>
      <c r="F740" s="1361"/>
      <c r="G740" s="1368"/>
      <c r="H740" s="1369"/>
      <c r="I740" s="1369"/>
      <c r="J740" s="1370"/>
      <c r="K740" s="1353"/>
      <c r="L740" s="1354"/>
      <c r="M740" s="1354"/>
      <c r="N740" s="1355"/>
      <c r="O740" s="1356"/>
      <c r="P740" s="1357"/>
      <c r="Q740" s="1357"/>
      <c r="R740" s="1357"/>
      <c r="S740" s="1358"/>
      <c r="T740" s="1356"/>
      <c r="U740" s="1357"/>
      <c r="V740" s="1357"/>
      <c r="W740" s="1358"/>
      <c r="X740" s="1365">
        <f t="shared" si="59"/>
        <v>0</v>
      </c>
      <c r="Y740" s="1366"/>
      <c r="Z740" s="1366"/>
      <c r="AA740" s="1366"/>
      <c r="AB740" s="1367"/>
      <c r="AC740" s="1362"/>
      <c r="AD740" s="1363"/>
      <c r="AE740" s="1363"/>
      <c r="AF740" s="1363"/>
      <c r="AG740" s="1364"/>
      <c r="AH740" s="1473" t="str">
        <f t="shared" si="60"/>
        <v/>
      </c>
      <c r="AI740" s="1474"/>
      <c r="AJ740" s="1475"/>
      <c r="AK740" s="1359" t="s">
        <v>600</v>
      </c>
      <c r="AL740" s="1360"/>
      <c r="AM740" s="1360"/>
      <c r="AN740" s="1360"/>
      <c r="AO740" s="1361"/>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9"/>
      <c r="C741" s="1360"/>
      <c r="D741" s="1360"/>
      <c r="E741" s="1360"/>
      <c r="F741" s="1361"/>
      <c r="G741" s="1368"/>
      <c r="H741" s="1369"/>
      <c r="I741" s="1369"/>
      <c r="J741" s="1370"/>
      <c r="K741" s="1353"/>
      <c r="L741" s="1354"/>
      <c r="M741" s="1354"/>
      <c r="N741" s="1355"/>
      <c r="O741" s="1356"/>
      <c r="P741" s="1357"/>
      <c r="Q741" s="1357"/>
      <c r="R741" s="1357"/>
      <c r="S741" s="1358"/>
      <c r="T741" s="1356"/>
      <c r="U741" s="1357"/>
      <c r="V741" s="1357"/>
      <c r="W741" s="1358"/>
      <c r="X741" s="1365">
        <f t="shared" si="59"/>
        <v>0</v>
      </c>
      <c r="Y741" s="1366"/>
      <c r="Z741" s="1366"/>
      <c r="AA741" s="1366"/>
      <c r="AB741" s="1367"/>
      <c r="AC741" s="1362"/>
      <c r="AD741" s="1363"/>
      <c r="AE741" s="1363"/>
      <c r="AF741" s="1363"/>
      <c r="AG741" s="1364"/>
      <c r="AH741" s="1473" t="str">
        <f t="shared" si="60"/>
        <v/>
      </c>
      <c r="AI741" s="1474"/>
      <c r="AJ741" s="1475"/>
      <c r="AK741" s="1359" t="s">
        <v>600</v>
      </c>
      <c r="AL741" s="1360"/>
      <c r="AM741" s="1360"/>
      <c r="AN741" s="1360"/>
      <c r="AO741" s="1361"/>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9"/>
      <c r="C742" s="1360"/>
      <c r="D742" s="1360"/>
      <c r="E742" s="1360"/>
      <c r="F742" s="1361"/>
      <c r="G742" s="1368"/>
      <c r="H742" s="1369"/>
      <c r="I742" s="1369"/>
      <c r="J742" s="1370"/>
      <c r="K742" s="1353"/>
      <c r="L742" s="1354"/>
      <c r="M742" s="1354"/>
      <c r="N742" s="1355"/>
      <c r="O742" s="1356"/>
      <c r="P742" s="1357"/>
      <c r="Q742" s="1357"/>
      <c r="R742" s="1357"/>
      <c r="S742" s="1358"/>
      <c r="T742" s="1356"/>
      <c r="U742" s="1357"/>
      <c r="V742" s="1357"/>
      <c r="W742" s="1358"/>
      <c r="X742" s="1365">
        <f t="shared" ref="X742:X751" si="62">O742+T742</f>
        <v>0</v>
      </c>
      <c r="Y742" s="1366"/>
      <c r="Z742" s="1366"/>
      <c r="AA742" s="1366"/>
      <c r="AB742" s="1367"/>
      <c r="AC742" s="1362"/>
      <c r="AD742" s="1363"/>
      <c r="AE742" s="1363"/>
      <c r="AF742" s="1363"/>
      <c r="AG742" s="1364"/>
      <c r="AH742" s="1473" t="str">
        <f t="shared" si="60"/>
        <v/>
      </c>
      <c r="AI742" s="1474"/>
      <c r="AJ742" s="1475"/>
      <c r="AK742" s="1359" t="s">
        <v>600</v>
      </c>
      <c r="AL742" s="1360"/>
      <c r="AM742" s="1360"/>
      <c r="AN742" s="1360"/>
      <c r="AO742" s="1361"/>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9"/>
      <c r="C743" s="1360"/>
      <c r="D743" s="1360"/>
      <c r="E743" s="1360"/>
      <c r="F743" s="1361"/>
      <c r="G743" s="1368"/>
      <c r="H743" s="1369"/>
      <c r="I743" s="1369"/>
      <c r="J743" s="1370"/>
      <c r="K743" s="1353"/>
      <c r="L743" s="1354"/>
      <c r="M743" s="1354"/>
      <c r="N743" s="1355"/>
      <c r="O743" s="1356"/>
      <c r="P743" s="1357"/>
      <c r="Q743" s="1357"/>
      <c r="R743" s="1357"/>
      <c r="S743" s="1358"/>
      <c r="T743" s="1356"/>
      <c r="U743" s="1357"/>
      <c r="V743" s="1357"/>
      <c r="W743" s="1358"/>
      <c r="X743" s="1365">
        <f t="shared" si="62"/>
        <v>0</v>
      </c>
      <c r="Y743" s="1366"/>
      <c r="Z743" s="1366"/>
      <c r="AA743" s="1366"/>
      <c r="AB743" s="1367"/>
      <c r="AC743" s="1362"/>
      <c r="AD743" s="1363"/>
      <c r="AE743" s="1363"/>
      <c r="AF743" s="1363"/>
      <c r="AG743" s="1364"/>
      <c r="AH743" s="1473" t="str">
        <f t="shared" si="60"/>
        <v/>
      </c>
      <c r="AI743" s="1474"/>
      <c r="AJ743" s="1475"/>
      <c r="AK743" s="1359" t="s">
        <v>600</v>
      </c>
      <c r="AL743" s="1360"/>
      <c r="AM743" s="1360"/>
      <c r="AN743" s="1360"/>
      <c r="AO743" s="1361"/>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9"/>
      <c r="C744" s="1360"/>
      <c r="D744" s="1360"/>
      <c r="E744" s="1360"/>
      <c r="F744" s="1361"/>
      <c r="G744" s="1368"/>
      <c r="H744" s="1369"/>
      <c r="I744" s="1369"/>
      <c r="J744" s="1370"/>
      <c r="K744" s="1353"/>
      <c r="L744" s="1354"/>
      <c r="M744" s="1354"/>
      <c r="N744" s="1355"/>
      <c r="O744" s="1356"/>
      <c r="P744" s="1357"/>
      <c r="Q744" s="1357"/>
      <c r="R744" s="1357"/>
      <c r="S744" s="1358"/>
      <c r="T744" s="1356"/>
      <c r="U744" s="1357"/>
      <c r="V744" s="1357"/>
      <c r="W744" s="1358"/>
      <c r="X744" s="1365">
        <f t="shared" si="62"/>
        <v>0</v>
      </c>
      <c r="Y744" s="1366"/>
      <c r="Z744" s="1366"/>
      <c r="AA744" s="1366"/>
      <c r="AB744" s="1367"/>
      <c r="AC744" s="1362"/>
      <c r="AD744" s="1363"/>
      <c r="AE744" s="1363"/>
      <c r="AF744" s="1363"/>
      <c r="AG744" s="1364"/>
      <c r="AH744" s="1473" t="str">
        <f t="shared" si="60"/>
        <v/>
      </c>
      <c r="AI744" s="1474"/>
      <c r="AJ744" s="1475"/>
      <c r="AK744" s="1359" t="s">
        <v>600</v>
      </c>
      <c r="AL744" s="1360"/>
      <c r="AM744" s="1360"/>
      <c r="AN744" s="1360"/>
      <c r="AO744" s="1361"/>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9"/>
      <c r="C745" s="1360"/>
      <c r="D745" s="1360"/>
      <c r="E745" s="1360"/>
      <c r="F745" s="1361"/>
      <c r="G745" s="1368"/>
      <c r="H745" s="1369"/>
      <c r="I745" s="1369"/>
      <c r="J745" s="1370"/>
      <c r="K745" s="1353"/>
      <c r="L745" s="1354"/>
      <c r="M745" s="1354"/>
      <c r="N745" s="1355"/>
      <c r="O745" s="1356"/>
      <c r="P745" s="1357"/>
      <c r="Q745" s="1357"/>
      <c r="R745" s="1357"/>
      <c r="S745" s="1358"/>
      <c r="T745" s="1356"/>
      <c r="U745" s="1357"/>
      <c r="V745" s="1357"/>
      <c r="W745" s="1358"/>
      <c r="X745" s="1365">
        <f t="shared" si="62"/>
        <v>0</v>
      </c>
      <c r="Y745" s="1366"/>
      <c r="Z745" s="1366"/>
      <c r="AA745" s="1366"/>
      <c r="AB745" s="1367"/>
      <c r="AC745" s="1362"/>
      <c r="AD745" s="1363"/>
      <c r="AE745" s="1363"/>
      <c r="AF745" s="1363"/>
      <c r="AG745" s="1364"/>
      <c r="AH745" s="1473" t="str">
        <f t="shared" si="60"/>
        <v/>
      </c>
      <c r="AI745" s="1474"/>
      <c r="AJ745" s="1475"/>
      <c r="AK745" s="1359" t="s">
        <v>600</v>
      </c>
      <c r="AL745" s="1360"/>
      <c r="AM745" s="1360"/>
      <c r="AN745" s="1360"/>
      <c r="AO745" s="1361"/>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9"/>
      <c r="C746" s="1360"/>
      <c r="D746" s="1360"/>
      <c r="E746" s="1360"/>
      <c r="F746" s="1361"/>
      <c r="G746" s="1368"/>
      <c r="H746" s="1369"/>
      <c r="I746" s="1369"/>
      <c r="J746" s="1370"/>
      <c r="K746" s="1353"/>
      <c r="L746" s="1354"/>
      <c r="M746" s="1354"/>
      <c r="N746" s="1355"/>
      <c r="O746" s="1356"/>
      <c r="P746" s="1357"/>
      <c r="Q746" s="1357"/>
      <c r="R746" s="1357"/>
      <c r="S746" s="1358"/>
      <c r="T746" s="1356"/>
      <c r="U746" s="1357"/>
      <c r="V746" s="1357"/>
      <c r="W746" s="1358"/>
      <c r="X746" s="1365">
        <f t="shared" si="62"/>
        <v>0</v>
      </c>
      <c r="Y746" s="1366"/>
      <c r="Z746" s="1366"/>
      <c r="AA746" s="1366"/>
      <c r="AB746" s="1367"/>
      <c r="AC746" s="1362"/>
      <c r="AD746" s="1363"/>
      <c r="AE746" s="1363"/>
      <c r="AF746" s="1363"/>
      <c r="AG746" s="1364"/>
      <c r="AH746" s="1473" t="str">
        <f t="shared" si="60"/>
        <v/>
      </c>
      <c r="AI746" s="1474"/>
      <c r="AJ746" s="1475"/>
      <c r="AK746" s="1359" t="s">
        <v>600</v>
      </c>
      <c r="AL746" s="1360"/>
      <c r="AM746" s="1360"/>
      <c r="AN746" s="1360"/>
      <c r="AO746" s="1361"/>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9"/>
      <c r="C747" s="1360"/>
      <c r="D747" s="1360"/>
      <c r="E747" s="1360"/>
      <c r="F747" s="1361"/>
      <c r="G747" s="1368"/>
      <c r="H747" s="1369"/>
      <c r="I747" s="1369"/>
      <c r="J747" s="1370"/>
      <c r="K747" s="1353"/>
      <c r="L747" s="1354"/>
      <c r="M747" s="1354"/>
      <c r="N747" s="1355"/>
      <c r="O747" s="1356"/>
      <c r="P747" s="1357"/>
      <c r="Q747" s="1357"/>
      <c r="R747" s="1357"/>
      <c r="S747" s="1358"/>
      <c r="T747" s="1356"/>
      <c r="U747" s="1357"/>
      <c r="V747" s="1357"/>
      <c r="W747" s="1358"/>
      <c r="X747" s="1365">
        <f t="shared" si="62"/>
        <v>0</v>
      </c>
      <c r="Y747" s="1366"/>
      <c r="Z747" s="1366"/>
      <c r="AA747" s="1366"/>
      <c r="AB747" s="1367"/>
      <c r="AC747" s="1362"/>
      <c r="AD747" s="1363"/>
      <c r="AE747" s="1363"/>
      <c r="AF747" s="1363"/>
      <c r="AG747" s="1364"/>
      <c r="AH747" s="1473" t="str">
        <f t="shared" si="60"/>
        <v/>
      </c>
      <c r="AI747" s="1474"/>
      <c r="AJ747" s="1475"/>
      <c r="AK747" s="1359" t="s">
        <v>600</v>
      </c>
      <c r="AL747" s="1360"/>
      <c r="AM747" s="1360"/>
      <c r="AN747" s="1360"/>
      <c r="AO747" s="1361"/>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9"/>
      <c r="C748" s="1360"/>
      <c r="D748" s="1360"/>
      <c r="E748" s="1360"/>
      <c r="F748" s="1361"/>
      <c r="G748" s="1368"/>
      <c r="H748" s="1369"/>
      <c r="I748" s="1369"/>
      <c r="J748" s="1370"/>
      <c r="K748" s="1353"/>
      <c r="L748" s="1354"/>
      <c r="M748" s="1354"/>
      <c r="N748" s="1355"/>
      <c r="O748" s="1356"/>
      <c r="P748" s="1357"/>
      <c r="Q748" s="1357"/>
      <c r="R748" s="1357"/>
      <c r="S748" s="1358"/>
      <c r="T748" s="1356"/>
      <c r="U748" s="1357"/>
      <c r="V748" s="1357"/>
      <c r="W748" s="1358"/>
      <c r="X748" s="1365">
        <f t="shared" si="62"/>
        <v>0</v>
      </c>
      <c r="Y748" s="1366"/>
      <c r="Z748" s="1366"/>
      <c r="AA748" s="1366"/>
      <c r="AB748" s="1367"/>
      <c r="AC748" s="1362"/>
      <c r="AD748" s="1363"/>
      <c r="AE748" s="1363"/>
      <c r="AF748" s="1363"/>
      <c r="AG748" s="1364"/>
      <c r="AH748" s="1473" t="str">
        <f t="shared" si="60"/>
        <v/>
      </c>
      <c r="AI748" s="1474"/>
      <c r="AJ748" s="1475"/>
      <c r="AK748" s="1359" t="s">
        <v>600</v>
      </c>
      <c r="AL748" s="1360"/>
      <c r="AM748" s="1360"/>
      <c r="AN748" s="1360"/>
      <c r="AO748" s="1361"/>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9"/>
      <c r="C749" s="1360"/>
      <c r="D749" s="1360"/>
      <c r="E749" s="1360"/>
      <c r="F749" s="1361"/>
      <c r="G749" s="1368"/>
      <c r="H749" s="1369"/>
      <c r="I749" s="1369"/>
      <c r="J749" s="1370"/>
      <c r="K749" s="1353"/>
      <c r="L749" s="1354"/>
      <c r="M749" s="1354"/>
      <c r="N749" s="1355"/>
      <c r="O749" s="1356"/>
      <c r="P749" s="1357"/>
      <c r="Q749" s="1357"/>
      <c r="R749" s="1357"/>
      <c r="S749" s="1358"/>
      <c r="T749" s="1356"/>
      <c r="U749" s="1357"/>
      <c r="V749" s="1357"/>
      <c r="W749" s="1358"/>
      <c r="X749" s="1365">
        <f t="shared" si="62"/>
        <v>0</v>
      </c>
      <c r="Y749" s="1366"/>
      <c r="Z749" s="1366"/>
      <c r="AA749" s="1366"/>
      <c r="AB749" s="1367"/>
      <c r="AC749" s="1362"/>
      <c r="AD749" s="1363"/>
      <c r="AE749" s="1363"/>
      <c r="AF749" s="1363"/>
      <c r="AG749" s="1364"/>
      <c r="AH749" s="1473" t="str">
        <f t="shared" si="60"/>
        <v/>
      </c>
      <c r="AI749" s="1474"/>
      <c r="AJ749" s="1475"/>
      <c r="AK749" s="1359" t="s">
        <v>600</v>
      </c>
      <c r="AL749" s="1360"/>
      <c r="AM749" s="1360"/>
      <c r="AN749" s="1360"/>
      <c r="AO749" s="1361"/>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9"/>
      <c r="C750" s="1360"/>
      <c r="D750" s="1360"/>
      <c r="E750" s="1360"/>
      <c r="F750" s="1361"/>
      <c r="G750" s="1368"/>
      <c r="H750" s="1369"/>
      <c r="I750" s="1369"/>
      <c r="J750" s="1370"/>
      <c r="K750" s="1353"/>
      <c r="L750" s="1354"/>
      <c r="M750" s="1354"/>
      <c r="N750" s="1355"/>
      <c r="O750" s="1356"/>
      <c r="P750" s="1357"/>
      <c r="Q750" s="1357"/>
      <c r="R750" s="1357"/>
      <c r="S750" s="1358"/>
      <c r="T750" s="1356"/>
      <c r="U750" s="1357"/>
      <c r="V750" s="1357"/>
      <c r="W750" s="1358"/>
      <c r="X750" s="1365">
        <f t="shared" si="62"/>
        <v>0</v>
      </c>
      <c r="Y750" s="1366"/>
      <c r="Z750" s="1366"/>
      <c r="AA750" s="1366"/>
      <c r="AB750" s="1367"/>
      <c r="AC750" s="1362"/>
      <c r="AD750" s="1363"/>
      <c r="AE750" s="1363"/>
      <c r="AF750" s="1363"/>
      <c r="AG750" s="1364"/>
      <c r="AH750" s="1473" t="str">
        <f t="shared" si="60"/>
        <v/>
      </c>
      <c r="AI750" s="1474"/>
      <c r="AJ750" s="1475"/>
      <c r="AK750" s="1359" t="s">
        <v>600</v>
      </c>
      <c r="AL750" s="1360"/>
      <c r="AM750" s="1360"/>
      <c r="AN750" s="1360"/>
      <c r="AO750" s="136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9"/>
      <c r="C751" s="1360"/>
      <c r="D751" s="1360"/>
      <c r="E751" s="1360"/>
      <c r="F751" s="1361"/>
      <c r="G751" s="1368"/>
      <c r="H751" s="1369"/>
      <c r="I751" s="1369"/>
      <c r="J751" s="1370"/>
      <c r="K751" s="1353"/>
      <c r="L751" s="1354"/>
      <c r="M751" s="1354"/>
      <c r="N751" s="1355"/>
      <c r="O751" s="1356"/>
      <c r="P751" s="1357"/>
      <c r="Q751" s="1357"/>
      <c r="R751" s="1357"/>
      <c r="S751" s="1358"/>
      <c r="T751" s="1356"/>
      <c r="U751" s="1357"/>
      <c r="V751" s="1357"/>
      <c r="W751" s="1358"/>
      <c r="X751" s="1365">
        <f t="shared" si="62"/>
        <v>0</v>
      </c>
      <c r="Y751" s="1366"/>
      <c r="Z751" s="1366"/>
      <c r="AA751" s="1366"/>
      <c r="AB751" s="1367"/>
      <c r="AC751" s="1362"/>
      <c r="AD751" s="1363"/>
      <c r="AE751" s="1363"/>
      <c r="AF751" s="1363"/>
      <c r="AG751" s="1364"/>
      <c r="AH751" s="1473" t="str">
        <f t="shared" si="60"/>
        <v/>
      </c>
      <c r="AI751" s="1474"/>
      <c r="AJ751" s="1475"/>
      <c r="AK751" s="1359" t="s">
        <v>600</v>
      </c>
      <c r="AL751" s="1360"/>
      <c r="AM751" s="1360"/>
      <c r="AN751" s="1360"/>
      <c r="AO751" s="136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9"/>
      <c r="C752" s="1360"/>
      <c r="D752" s="1360"/>
      <c r="E752" s="1360"/>
      <c r="F752" s="1361"/>
      <c r="G752" s="1368"/>
      <c r="H752" s="1369"/>
      <c r="I752" s="1369"/>
      <c r="J752" s="1370"/>
      <c r="K752" s="1353"/>
      <c r="L752" s="1354"/>
      <c r="M752" s="1354"/>
      <c r="N752" s="1355"/>
      <c r="O752" s="1356"/>
      <c r="P752" s="1357"/>
      <c r="Q752" s="1357"/>
      <c r="R752" s="1357"/>
      <c r="S752" s="1358"/>
      <c r="T752" s="1356"/>
      <c r="U752" s="1357"/>
      <c r="V752" s="1357"/>
      <c r="W752" s="1358"/>
      <c r="X752" s="1365">
        <f>O752+T752</f>
        <v>0</v>
      </c>
      <c r="Y752" s="1366"/>
      <c r="Z752" s="1366"/>
      <c r="AA752" s="1366"/>
      <c r="AB752" s="1367"/>
      <c r="AC752" s="1362"/>
      <c r="AD752" s="1363"/>
      <c r="AE752" s="1363"/>
      <c r="AF752" s="1363"/>
      <c r="AG752" s="1364"/>
      <c r="AH752" s="1473" t="str">
        <f>IF($AC752&gt;0,($X752/$BA701), "")</f>
        <v/>
      </c>
      <c r="AI752" s="1474"/>
      <c r="AJ752" s="1475"/>
      <c r="AK752" s="1359" t="s">
        <v>600</v>
      </c>
      <c r="AL752" s="1360"/>
      <c r="AM752" s="1360"/>
      <c r="AN752" s="1360"/>
      <c r="AO752" s="136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57" t="s">
        <v>125</v>
      </c>
      <c r="C753" s="1658"/>
      <c r="D753" s="1658"/>
      <c r="E753" s="1658"/>
      <c r="F753" s="1659"/>
      <c r="G753" s="1638">
        <f>SUM(G718:G752)</f>
        <v>177</v>
      </c>
      <c r="H753" s="1639"/>
      <c r="I753" s="1639"/>
      <c r="J753" s="1640"/>
      <c r="K753" s="937" t="s">
        <v>124</v>
      </c>
      <c r="L753" s="5"/>
      <c r="M753" s="5"/>
      <c r="N753" s="46"/>
      <c r="O753" s="1365">
        <f>SUMPRODUCT(G718:G752,O718:O752)</f>
        <v>214922</v>
      </c>
      <c r="P753" s="1366"/>
      <c r="Q753" s="1366"/>
      <c r="R753" s="1366"/>
      <c r="S753" s="1367"/>
      <c r="T753"/>
      <c r="U753"/>
      <c r="V753"/>
      <c r="W753"/>
      <c r="X753" s="939" t="s">
        <v>916</v>
      </c>
      <c r="Y753" s="938"/>
      <c r="Z753" s="938"/>
      <c r="AA753" s="938"/>
      <c r="AB753" s="940"/>
      <c r="AC753" s="1660">
        <f>BI703</f>
        <v>0.4994350282485876</v>
      </c>
      <c r="AD753" s="1661"/>
      <c r="AE753" s="1661"/>
      <c r="AF753" s="1661"/>
      <c r="AG753" s="1662"/>
      <c r="AH753" s="1660">
        <f>IFERROR(BV703,"")</f>
        <v>0.49933958807338669</v>
      </c>
      <c r="AI753" s="1661"/>
      <c r="AJ753" s="166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37" t="s">
        <v>2183</v>
      </c>
      <c r="C754" s="1637"/>
      <c r="D754" s="1637"/>
      <c r="E754" s="1637"/>
      <c r="F754" s="1637"/>
      <c r="G754" s="1637"/>
      <c r="H754" s="1637"/>
      <c r="I754" s="1637"/>
      <c r="J754" s="1637"/>
      <c r="K754" s="1637"/>
      <c r="L754" s="1637"/>
      <c r="M754" s="1637"/>
      <c r="N754" s="1637"/>
      <c r="O754" s="1637"/>
      <c r="P754" s="1637"/>
      <c r="Q754" s="1637"/>
      <c r="R754" s="1637"/>
      <c r="S754" s="1637"/>
      <c r="T754" s="1637"/>
      <c r="U754" s="1637"/>
      <c r="V754" s="1637"/>
      <c r="W754" s="1637"/>
      <c r="X754" s="1637"/>
      <c r="Y754" s="1637"/>
      <c r="Z754" s="1637"/>
      <c r="AA754" s="1637"/>
      <c r="AB754" s="1637"/>
      <c r="AC754" s="1637"/>
      <c r="AD754" s="1637"/>
      <c r="AE754" s="1637"/>
      <c r="AF754" s="1637"/>
      <c r="AG754" s="1637"/>
      <c r="AH754" s="163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37"/>
      <c r="C755" s="1637"/>
      <c r="D755" s="1637"/>
      <c r="E755" s="1637"/>
      <c r="F755" s="1637"/>
      <c r="G755" s="1637"/>
      <c r="H755" s="1637"/>
      <c r="I755" s="1637"/>
      <c r="J755" s="1637"/>
      <c r="K755" s="1637"/>
      <c r="L755" s="1637"/>
      <c r="M755" s="1637"/>
      <c r="N755" s="1637"/>
      <c r="O755" s="1637"/>
      <c r="P755" s="1637"/>
      <c r="Q755" s="1637"/>
      <c r="R755" s="1637"/>
      <c r="S755" s="1637"/>
      <c r="T755" s="1637"/>
      <c r="U755" s="1637"/>
      <c r="V755" s="1637"/>
      <c r="W755" s="1637"/>
      <c r="X755" s="1637"/>
      <c r="Y755" s="1637"/>
      <c r="Z755" s="1637"/>
      <c r="AA755" s="1637"/>
      <c r="AB755" s="1637"/>
      <c r="AC755" s="1637"/>
      <c r="AD755" s="1637"/>
      <c r="AE755" s="1637"/>
      <c r="AF755" s="1637"/>
      <c r="AG755" s="1637"/>
      <c r="AH755" s="163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2181</v>
      </c>
      <c r="D756" s="1067"/>
      <c r="E756" s="1067"/>
      <c r="F756" s="1067"/>
      <c r="G756" s="1068"/>
      <c r="H756" s="1068"/>
      <c r="I756" s="1068"/>
      <c r="J756" s="1068"/>
      <c r="K756" s="1067"/>
      <c r="L756" s="1067"/>
      <c r="M756" s="1067"/>
      <c r="N756" s="1067"/>
      <c r="O756" s="1498">
        <f>CS634</f>
        <v>177</v>
      </c>
      <c r="P756" s="1498"/>
      <c r="Q756" s="1498"/>
      <c r="R756" s="1498"/>
      <c r="S756" s="1004"/>
      <c r="T756" s="1004"/>
      <c r="U756" s="118" t="s">
        <v>2182</v>
      </c>
      <c r="V756" s="1067"/>
      <c r="W756" s="1067"/>
      <c r="X756" s="1067"/>
      <c r="Y756" s="1068"/>
      <c r="Z756" s="1068"/>
      <c r="AA756" s="1068"/>
      <c r="AB756" s="1068"/>
      <c r="AC756" s="1067"/>
      <c r="AD756" s="1067"/>
      <c r="AE756" s="1067"/>
      <c r="AF756" s="1067"/>
      <c r="AG756" s="1752"/>
      <c r="AH756" s="1752"/>
      <c r="AI756" s="1752"/>
      <c r="AJ756" s="175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383" t="str">
        <f>IF(G753&lt;&gt;AG440,"! Total Low-Income Units in the Unit Mix Table above does not match the number of Total Low-Income Units on row #"&amp;TEXT(ROW(D440),"#"),"")</f>
        <v/>
      </c>
      <c r="D757" s="1383"/>
      <c r="E757" s="1383"/>
      <c r="F757" s="1383"/>
      <c r="G757" s="1383"/>
      <c r="H757" s="1383"/>
      <c r="I757" s="1383"/>
      <c r="J757" s="1383"/>
      <c r="K757" s="1383"/>
      <c r="L757" s="1383"/>
      <c r="M757" s="1383"/>
      <c r="N757" s="1383"/>
      <c r="O757" s="1383"/>
      <c r="P757" s="1383"/>
      <c r="Q757" s="1383"/>
      <c r="R757" s="1383"/>
      <c r="S757" s="1383"/>
      <c r="T757" s="1383"/>
      <c r="U757" s="1383"/>
      <c r="V757" s="1383"/>
      <c r="W757" s="1383"/>
      <c r="X757" s="1383"/>
      <c r="Y757" s="1383"/>
      <c r="Z757" s="1383"/>
      <c r="AA757" s="1383"/>
      <c r="AB757" s="1383"/>
      <c r="AC757" s="1383"/>
      <c r="AD757" s="1383"/>
      <c r="AE757" s="1383"/>
      <c r="AF757" s="1383"/>
      <c r="AG757" s="1383"/>
      <c r="AH757" s="1383"/>
      <c r="AI757" s="1383"/>
      <c r="AJ757" s="1383"/>
      <c r="AK757" s="1383"/>
      <c r="AL757" s="1383"/>
      <c r="AM757" s="138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383"/>
      <c r="D758" s="1383"/>
      <c r="E758" s="1383"/>
      <c r="F758" s="1383"/>
      <c r="G758" s="1383"/>
      <c r="H758" s="1383"/>
      <c r="I758" s="1383"/>
      <c r="J758" s="1383"/>
      <c r="K758" s="1383"/>
      <c r="L758" s="1383"/>
      <c r="M758" s="1383"/>
      <c r="N758" s="1383"/>
      <c r="O758" s="1383"/>
      <c r="P758" s="1383"/>
      <c r="Q758" s="1383"/>
      <c r="R758" s="1383"/>
      <c r="S758" s="1383"/>
      <c r="T758" s="1383"/>
      <c r="U758" s="1383"/>
      <c r="V758" s="1383"/>
      <c r="W758" s="1383"/>
      <c r="X758" s="1383"/>
      <c r="Y758" s="1383"/>
      <c r="Z758" s="1383"/>
      <c r="AA758" s="1383"/>
      <c r="AB758" s="1383"/>
      <c r="AC758" s="1383"/>
      <c r="AD758" s="1383"/>
      <c r="AE758" s="1383"/>
      <c r="AF758" s="1383"/>
      <c r="AG758" s="1383"/>
      <c r="AH758" s="1383"/>
      <c r="AI758" s="1383"/>
      <c r="AJ758" s="1383"/>
      <c r="AK758" s="1383"/>
      <c r="AL758" s="1383"/>
      <c r="AM758" s="138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66" t="s">
        <v>600</v>
      </c>
      <c r="AE759" s="1766"/>
      <c r="AF759" s="176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2406</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2407</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684" t="s">
        <v>390</v>
      </c>
      <c r="K769" s="1477"/>
      <c r="L769" s="1477"/>
      <c r="M769" s="1477"/>
      <c r="N769" s="1478"/>
      <c r="O769" s="1671" t="s">
        <v>286</v>
      </c>
      <c r="P769" s="1671"/>
      <c r="Q769" s="1671"/>
      <c r="R769" s="1671"/>
      <c r="S769" s="1671"/>
      <c r="T769" s="1753" t="s">
        <v>1868</v>
      </c>
      <c r="U769" s="1754"/>
      <c r="V769" s="1754"/>
      <c r="W769" s="1755"/>
      <c r="X769" s="1684" t="s">
        <v>456</v>
      </c>
      <c r="Y769" s="1477"/>
      <c r="Z769" s="1477"/>
      <c r="AA769" s="1477"/>
      <c r="AB769" s="1478"/>
      <c r="AC769" s="1684" t="s">
        <v>287</v>
      </c>
      <c r="AD769" s="1477"/>
      <c r="AE769" s="1477"/>
      <c r="AF769" s="1477"/>
      <c r="AG769" s="147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479"/>
      <c r="K770" s="1480"/>
      <c r="L770" s="1480"/>
      <c r="M770" s="1480"/>
      <c r="N770" s="1481"/>
      <c r="O770" s="1671"/>
      <c r="P770" s="1671"/>
      <c r="Q770" s="1671"/>
      <c r="R770" s="1671"/>
      <c r="S770" s="1671"/>
      <c r="T770" s="1756"/>
      <c r="U770" s="1757"/>
      <c r="V770" s="1757"/>
      <c r="W770" s="1758"/>
      <c r="X770" s="1479"/>
      <c r="Y770" s="1480"/>
      <c r="Z770" s="1480"/>
      <c r="AA770" s="1480"/>
      <c r="AB770" s="1481"/>
      <c r="AC770" s="1479"/>
      <c r="AD770" s="1480"/>
      <c r="AE770" s="1480"/>
      <c r="AF770" s="1480"/>
      <c r="AG770" s="148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479"/>
      <c r="K771" s="1480"/>
      <c r="L771" s="1480"/>
      <c r="M771" s="1480"/>
      <c r="N771" s="1481"/>
      <c r="O771" s="1671"/>
      <c r="P771" s="1671"/>
      <c r="Q771" s="1671"/>
      <c r="R771" s="1671"/>
      <c r="S771" s="1671"/>
      <c r="T771" s="1756"/>
      <c r="U771" s="1757"/>
      <c r="V771" s="1757"/>
      <c r="W771" s="1758"/>
      <c r="X771" s="1479"/>
      <c r="Y771" s="1480"/>
      <c r="Z771" s="1480"/>
      <c r="AA771" s="1480"/>
      <c r="AB771" s="1481"/>
      <c r="AC771" s="1479"/>
      <c r="AD771" s="1480"/>
      <c r="AE771" s="1480"/>
      <c r="AF771" s="1480"/>
      <c r="AG771" s="148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482"/>
      <c r="K772" s="1483"/>
      <c r="L772" s="1483"/>
      <c r="M772" s="1483"/>
      <c r="N772" s="1484"/>
      <c r="O772" s="1671"/>
      <c r="P772" s="1671"/>
      <c r="Q772" s="1671"/>
      <c r="R772" s="1671"/>
      <c r="S772" s="1671"/>
      <c r="T772" s="1759"/>
      <c r="U772" s="1760"/>
      <c r="V772" s="1760"/>
      <c r="W772" s="1761"/>
      <c r="X772" s="1482"/>
      <c r="Y772" s="1483"/>
      <c r="Z772" s="1483"/>
      <c r="AA772" s="1483"/>
      <c r="AB772" s="1484"/>
      <c r="AC772" s="1482"/>
      <c r="AD772" s="1483"/>
      <c r="AE772" s="1483"/>
      <c r="AF772" s="1483"/>
      <c r="AG772" s="148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9" t="s">
        <v>325</v>
      </c>
      <c r="K773" s="1360"/>
      <c r="L773" s="1360"/>
      <c r="M773" s="1360"/>
      <c r="N773" s="1361"/>
      <c r="O773" s="1656">
        <v>2</v>
      </c>
      <c r="P773" s="1656"/>
      <c r="Q773" s="1656"/>
      <c r="R773" s="1656"/>
      <c r="S773" s="1656"/>
      <c r="T773" s="1353">
        <v>322</v>
      </c>
      <c r="U773" s="1354"/>
      <c r="V773" s="1354"/>
      <c r="W773" s="1355"/>
      <c r="X773" s="1356"/>
      <c r="Y773" s="1357"/>
      <c r="Z773" s="1357"/>
      <c r="AA773" s="1357"/>
      <c r="AB773" s="1358"/>
      <c r="AC773" s="1365">
        <f>X773*O773</f>
        <v>0</v>
      </c>
      <c r="AD773" s="1366"/>
      <c r="AE773" s="1366"/>
      <c r="AF773" s="1366"/>
      <c r="AG773" s="136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9"/>
      <c r="K774" s="1360"/>
      <c r="L774" s="1360"/>
      <c r="M774" s="1360"/>
      <c r="N774" s="1361"/>
      <c r="O774" s="1656"/>
      <c r="P774" s="1656"/>
      <c r="Q774" s="1656"/>
      <c r="R774" s="1656"/>
      <c r="S774" s="1656"/>
      <c r="T774" s="1353"/>
      <c r="U774" s="1354"/>
      <c r="V774" s="1354"/>
      <c r="W774" s="1355"/>
      <c r="X774" s="1356"/>
      <c r="Y774" s="1357"/>
      <c r="Z774" s="1357"/>
      <c r="AA774" s="1357"/>
      <c r="AB774" s="1358"/>
      <c r="AC774" s="1365">
        <f>X774*O774</f>
        <v>0</v>
      </c>
      <c r="AD774" s="1366"/>
      <c r="AE774" s="1366"/>
      <c r="AF774" s="1366"/>
      <c r="AG774" s="136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9"/>
      <c r="K775" s="1360"/>
      <c r="L775" s="1360"/>
      <c r="M775" s="1360"/>
      <c r="N775" s="1361"/>
      <c r="O775" s="1656"/>
      <c r="P775" s="1656"/>
      <c r="Q775" s="1656"/>
      <c r="R775" s="1656"/>
      <c r="S775" s="1656"/>
      <c r="T775" s="1353"/>
      <c r="U775" s="1354"/>
      <c r="V775" s="1354"/>
      <c r="W775" s="1355"/>
      <c r="X775" s="1356"/>
      <c r="Y775" s="1357"/>
      <c r="Z775" s="1357"/>
      <c r="AA775" s="1357"/>
      <c r="AB775" s="1358"/>
      <c r="AC775" s="1365">
        <f>X775*O775</f>
        <v>0</v>
      </c>
      <c r="AD775" s="1366"/>
      <c r="AE775" s="1366"/>
      <c r="AF775" s="1366"/>
      <c r="AG775" s="136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9"/>
      <c r="K776" s="1360"/>
      <c r="L776" s="1360"/>
      <c r="M776" s="1360"/>
      <c r="N776" s="1361"/>
      <c r="O776" s="1656"/>
      <c r="P776" s="1656"/>
      <c r="Q776" s="1656"/>
      <c r="R776" s="1656"/>
      <c r="S776" s="1656"/>
      <c r="T776" s="1353"/>
      <c r="U776" s="1354"/>
      <c r="V776" s="1354"/>
      <c r="W776" s="1355"/>
      <c r="X776" s="1356"/>
      <c r="Y776" s="1357"/>
      <c r="Z776" s="1357"/>
      <c r="AA776" s="1357"/>
      <c r="AB776" s="1358"/>
      <c r="AC776" s="1365">
        <f>X776*O776</f>
        <v>0</v>
      </c>
      <c r="AD776" s="1366"/>
      <c r="AE776" s="1366"/>
      <c r="AF776" s="1366"/>
      <c r="AG776" s="136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57" t="s">
        <v>125</v>
      </c>
      <c r="K777" s="1658"/>
      <c r="L777" s="1658"/>
      <c r="M777" s="1658"/>
      <c r="N777" s="1659"/>
      <c r="O777" s="1500">
        <f>SUM(O773:S776)</f>
        <v>2</v>
      </c>
      <c r="P777" s="1501"/>
      <c r="Q777" s="1501"/>
      <c r="R777" s="1501"/>
      <c r="S777" s="1502"/>
      <c r="X777" s="1657" t="s">
        <v>124</v>
      </c>
      <c r="Y777" s="1658"/>
      <c r="Z777" s="1658"/>
      <c r="AA777" s="1658"/>
      <c r="AB777" s="1659"/>
      <c r="AC777" s="1365">
        <f>SUM(AC773:AG776)</f>
        <v>0</v>
      </c>
      <c r="AD777" s="1366"/>
      <c r="AE777" s="1366"/>
      <c r="AF777" s="1366"/>
      <c r="AG777" s="136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693" t="s">
        <v>678</v>
      </c>
      <c r="K779" s="1693"/>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684" t="s">
        <v>390</v>
      </c>
      <c r="K783" s="1477"/>
      <c r="L783" s="1477"/>
      <c r="M783" s="1477"/>
      <c r="N783" s="1478"/>
      <c r="O783" s="1671" t="s">
        <v>286</v>
      </c>
      <c r="P783" s="1671"/>
      <c r="Q783" s="1671"/>
      <c r="R783" s="1671"/>
      <c r="S783" s="1671"/>
      <c r="T783" s="1753" t="s">
        <v>1868</v>
      </c>
      <c r="U783" s="1754"/>
      <c r="V783" s="1754"/>
      <c r="W783" s="1755"/>
      <c r="X783" s="1684" t="s">
        <v>456</v>
      </c>
      <c r="Y783" s="1477"/>
      <c r="Z783" s="1477"/>
      <c r="AA783" s="1477"/>
      <c r="AB783" s="1478"/>
      <c r="AC783" s="1684" t="s">
        <v>287</v>
      </c>
      <c r="AD783" s="1477"/>
      <c r="AE783" s="1477"/>
      <c r="AF783" s="1477"/>
      <c r="AG783" s="147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479"/>
      <c r="K784" s="1480"/>
      <c r="L784" s="1480"/>
      <c r="M784" s="1480"/>
      <c r="N784" s="1481"/>
      <c r="O784" s="1671"/>
      <c r="P784" s="1671"/>
      <c r="Q784" s="1671"/>
      <c r="R784" s="1671"/>
      <c r="S784" s="1671"/>
      <c r="T784" s="1756"/>
      <c r="U784" s="1757"/>
      <c r="V784" s="1757"/>
      <c r="W784" s="1758"/>
      <c r="X784" s="1479"/>
      <c r="Y784" s="1480"/>
      <c r="Z784" s="1480"/>
      <c r="AA784" s="1480"/>
      <c r="AB784" s="1481"/>
      <c r="AC784" s="1479"/>
      <c r="AD784" s="1480"/>
      <c r="AE784" s="1480"/>
      <c r="AF784" s="1480"/>
      <c r="AG784" s="148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479"/>
      <c r="K785" s="1480"/>
      <c r="L785" s="1480"/>
      <c r="M785" s="1480"/>
      <c r="N785" s="1481"/>
      <c r="O785" s="1671"/>
      <c r="P785" s="1671"/>
      <c r="Q785" s="1671"/>
      <c r="R785" s="1671"/>
      <c r="S785" s="1671"/>
      <c r="T785" s="1756"/>
      <c r="U785" s="1757"/>
      <c r="V785" s="1757"/>
      <c r="W785" s="1758"/>
      <c r="X785" s="1479"/>
      <c r="Y785" s="1480"/>
      <c r="Z785" s="1480"/>
      <c r="AA785" s="1480"/>
      <c r="AB785" s="1481"/>
      <c r="AC785" s="1479"/>
      <c r="AD785" s="1480"/>
      <c r="AE785" s="1480"/>
      <c r="AF785" s="1480"/>
      <c r="AG785" s="148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482"/>
      <c r="K786" s="1483"/>
      <c r="L786" s="1483"/>
      <c r="M786" s="1483"/>
      <c r="N786" s="1484"/>
      <c r="O786" s="1671"/>
      <c r="P786" s="1671"/>
      <c r="Q786" s="1671"/>
      <c r="R786" s="1671"/>
      <c r="S786" s="1671"/>
      <c r="T786" s="1759"/>
      <c r="U786" s="1760"/>
      <c r="V786" s="1760"/>
      <c r="W786" s="1761"/>
      <c r="X786" s="1482"/>
      <c r="Y786" s="1483"/>
      <c r="Z786" s="1483"/>
      <c r="AA786" s="1483"/>
      <c r="AB786" s="1484"/>
      <c r="AC786" s="1482"/>
      <c r="AD786" s="1483"/>
      <c r="AE786" s="1483"/>
      <c r="AF786" s="1483"/>
      <c r="AG786" s="148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9"/>
      <c r="K787" s="1360"/>
      <c r="L787" s="1360"/>
      <c r="M787" s="1360"/>
      <c r="N787" s="1361"/>
      <c r="O787" s="1656"/>
      <c r="P787" s="1656"/>
      <c r="Q787" s="1656"/>
      <c r="R787" s="1656"/>
      <c r="S787" s="1656"/>
      <c r="T787" s="1353"/>
      <c r="U787" s="1354"/>
      <c r="V787" s="1354"/>
      <c r="W787" s="1355"/>
      <c r="X787" s="1356"/>
      <c r="Y787" s="1357"/>
      <c r="Z787" s="1357"/>
      <c r="AA787" s="1357"/>
      <c r="AB787" s="1358"/>
      <c r="AC787" s="1365">
        <f t="shared" ref="AC787:AC796" si="63">X787*O787</f>
        <v>0</v>
      </c>
      <c r="AD787" s="1366"/>
      <c r="AE787" s="1366"/>
      <c r="AF787" s="1366"/>
      <c r="AG787" s="136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9"/>
      <c r="K788" s="1360"/>
      <c r="L788" s="1360"/>
      <c r="M788" s="1360"/>
      <c r="N788" s="1361"/>
      <c r="O788" s="1656"/>
      <c r="P788" s="1656"/>
      <c r="Q788" s="1656"/>
      <c r="R788" s="1656"/>
      <c r="S788" s="1656"/>
      <c r="T788" s="1353"/>
      <c r="U788" s="1354"/>
      <c r="V788" s="1354"/>
      <c r="W788" s="1355"/>
      <c r="X788" s="1356"/>
      <c r="Y788" s="1357"/>
      <c r="Z788" s="1357"/>
      <c r="AA788" s="1357"/>
      <c r="AB788" s="1358"/>
      <c r="AC788" s="1365">
        <f t="shared" si="63"/>
        <v>0</v>
      </c>
      <c r="AD788" s="1366"/>
      <c r="AE788" s="1366"/>
      <c r="AF788" s="1366"/>
      <c r="AG788" s="136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9"/>
      <c r="K789" s="1360"/>
      <c r="L789" s="1360"/>
      <c r="M789" s="1360"/>
      <c r="N789" s="1361"/>
      <c r="O789" s="1656"/>
      <c r="P789" s="1656"/>
      <c r="Q789" s="1656"/>
      <c r="R789" s="1656"/>
      <c r="S789" s="1656"/>
      <c r="T789" s="1353"/>
      <c r="U789" s="1354"/>
      <c r="V789" s="1354"/>
      <c r="W789" s="1355"/>
      <c r="X789" s="1356"/>
      <c r="Y789" s="1357"/>
      <c r="Z789" s="1357"/>
      <c r="AA789" s="1357"/>
      <c r="AB789" s="1358"/>
      <c r="AC789" s="1365">
        <f t="shared" si="63"/>
        <v>0</v>
      </c>
      <c r="AD789" s="1366"/>
      <c r="AE789" s="1366"/>
      <c r="AF789" s="1366"/>
      <c r="AG789" s="136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9"/>
      <c r="K790" s="1360"/>
      <c r="L790" s="1360"/>
      <c r="M790" s="1360"/>
      <c r="N790" s="1361"/>
      <c r="O790" s="1656"/>
      <c r="P790" s="1656"/>
      <c r="Q790" s="1656"/>
      <c r="R790" s="1656"/>
      <c r="S790" s="1656"/>
      <c r="T790" s="1353"/>
      <c r="U790" s="1354"/>
      <c r="V790" s="1354"/>
      <c r="W790" s="1355"/>
      <c r="X790" s="1356"/>
      <c r="Y790" s="1357"/>
      <c r="Z790" s="1357"/>
      <c r="AA790" s="1357"/>
      <c r="AB790" s="1358"/>
      <c r="AC790" s="1365">
        <f t="shared" si="63"/>
        <v>0</v>
      </c>
      <c r="AD790" s="1366"/>
      <c r="AE790" s="1366"/>
      <c r="AF790" s="1366"/>
      <c r="AG790" s="136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9"/>
      <c r="K791" s="1360"/>
      <c r="L791" s="1360"/>
      <c r="M791" s="1360"/>
      <c r="N791" s="1361"/>
      <c r="O791" s="1656"/>
      <c r="P791" s="1656"/>
      <c r="Q791" s="1656"/>
      <c r="R791" s="1656"/>
      <c r="S791" s="1656"/>
      <c r="T791" s="1353"/>
      <c r="U791" s="1354"/>
      <c r="V791" s="1354"/>
      <c r="W791" s="1355"/>
      <c r="X791" s="1356"/>
      <c r="Y791" s="1357"/>
      <c r="Z791" s="1357"/>
      <c r="AA791" s="1357"/>
      <c r="AB791" s="1358"/>
      <c r="AC791" s="1365">
        <f t="shared" si="63"/>
        <v>0</v>
      </c>
      <c r="AD791" s="1366"/>
      <c r="AE791" s="1366"/>
      <c r="AF791" s="1366"/>
      <c r="AG791" s="136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9"/>
      <c r="K792" s="1360"/>
      <c r="L792" s="1360"/>
      <c r="M792" s="1360"/>
      <c r="N792" s="1361"/>
      <c r="O792" s="1656"/>
      <c r="P792" s="1656"/>
      <c r="Q792" s="1656"/>
      <c r="R792" s="1656"/>
      <c r="S792" s="1656"/>
      <c r="T792" s="1353"/>
      <c r="U792" s="1354"/>
      <c r="V792" s="1354"/>
      <c r="W792" s="1355"/>
      <c r="X792" s="1356"/>
      <c r="Y792" s="1357"/>
      <c r="Z792" s="1357"/>
      <c r="AA792" s="1357"/>
      <c r="AB792" s="1358"/>
      <c r="AC792" s="1365">
        <f t="shared" si="63"/>
        <v>0</v>
      </c>
      <c r="AD792" s="1366"/>
      <c r="AE792" s="1366"/>
      <c r="AF792" s="1366"/>
      <c r="AG792" s="136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9"/>
      <c r="K793" s="1360"/>
      <c r="L793" s="1360"/>
      <c r="M793" s="1360"/>
      <c r="N793" s="1361"/>
      <c r="O793" s="1656"/>
      <c r="P793" s="1656"/>
      <c r="Q793" s="1656"/>
      <c r="R793" s="1656"/>
      <c r="S793" s="1656"/>
      <c r="T793" s="1353"/>
      <c r="U793" s="1354"/>
      <c r="V793" s="1354"/>
      <c r="W793" s="1355"/>
      <c r="X793" s="1356"/>
      <c r="Y793" s="1357"/>
      <c r="Z793" s="1357"/>
      <c r="AA793" s="1357"/>
      <c r="AB793" s="1358"/>
      <c r="AC793" s="1365">
        <f t="shared" si="63"/>
        <v>0</v>
      </c>
      <c r="AD793" s="1366"/>
      <c r="AE793" s="1366"/>
      <c r="AF793" s="1366"/>
      <c r="AG793" s="136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9"/>
      <c r="K794" s="1360"/>
      <c r="L794" s="1360"/>
      <c r="M794" s="1360"/>
      <c r="N794" s="1361"/>
      <c r="O794" s="1656"/>
      <c r="P794" s="1656"/>
      <c r="Q794" s="1656"/>
      <c r="R794" s="1656"/>
      <c r="S794" s="1656"/>
      <c r="T794" s="1353"/>
      <c r="U794" s="1354"/>
      <c r="V794" s="1354"/>
      <c r="W794" s="1355"/>
      <c r="X794" s="1356"/>
      <c r="Y794" s="1357"/>
      <c r="Z794" s="1357"/>
      <c r="AA794" s="1357"/>
      <c r="AB794" s="1358"/>
      <c r="AC794" s="1365">
        <f t="shared" si="63"/>
        <v>0</v>
      </c>
      <c r="AD794" s="1366"/>
      <c r="AE794" s="1366"/>
      <c r="AF794" s="1366"/>
      <c r="AG794" s="136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9"/>
      <c r="K795" s="1360"/>
      <c r="L795" s="1360"/>
      <c r="M795" s="1360"/>
      <c r="N795" s="1361"/>
      <c r="O795" s="1656"/>
      <c r="P795" s="1656"/>
      <c r="Q795" s="1656"/>
      <c r="R795" s="1656"/>
      <c r="S795" s="1656"/>
      <c r="T795" s="1353"/>
      <c r="U795" s="1354"/>
      <c r="V795" s="1354"/>
      <c r="W795" s="1355"/>
      <c r="X795" s="1356"/>
      <c r="Y795" s="1357"/>
      <c r="Z795" s="1357"/>
      <c r="AA795" s="1357"/>
      <c r="AB795" s="1358"/>
      <c r="AC795" s="1365">
        <f t="shared" si="63"/>
        <v>0</v>
      </c>
      <c r="AD795" s="1366"/>
      <c r="AE795" s="1366"/>
      <c r="AF795" s="1366"/>
      <c r="AG795" s="136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9"/>
      <c r="K796" s="1360"/>
      <c r="L796" s="1360"/>
      <c r="M796" s="1360"/>
      <c r="N796" s="1361"/>
      <c r="O796" s="1656"/>
      <c r="P796" s="1656"/>
      <c r="Q796" s="1656"/>
      <c r="R796" s="1656"/>
      <c r="S796" s="1656"/>
      <c r="T796" s="1353"/>
      <c r="U796" s="1354"/>
      <c r="V796" s="1354"/>
      <c r="W796" s="1355"/>
      <c r="X796" s="1356"/>
      <c r="Y796" s="1357"/>
      <c r="Z796" s="1357"/>
      <c r="AA796" s="1357"/>
      <c r="AB796" s="1358"/>
      <c r="AC796" s="1365">
        <f t="shared" si="63"/>
        <v>0</v>
      </c>
      <c r="AD796" s="1366"/>
      <c r="AE796" s="1366"/>
      <c r="AF796" s="1366"/>
      <c r="AG796" s="1367"/>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1" t="s">
        <v>478</v>
      </c>
      <c r="BO796" s="1682"/>
      <c r="BP796" s="3"/>
      <c r="BQ796" s="3"/>
      <c r="BR796" s="3"/>
      <c r="BS796" s="14" t="s">
        <v>643</v>
      </c>
      <c r="BT796" s="14"/>
      <c r="BU796" s="14"/>
      <c r="BV796" s="14"/>
      <c r="BW796" s="14"/>
      <c r="BX796" s="14"/>
      <c r="BY796" s="14"/>
      <c r="BZ796" s="14"/>
      <c r="CA796" s="14"/>
      <c r="CB796" s="1678" t="str">
        <f>T189</f>
        <v>San Diego</v>
      </c>
      <c r="CC796" s="1679"/>
      <c r="CD796" s="1679"/>
      <c r="CE796" s="1679"/>
      <c r="CF796" s="1679"/>
      <c r="CG796" s="1679"/>
      <c r="CH796" s="168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57" t="s">
        <v>125</v>
      </c>
      <c r="K797" s="1658"/>
      <c r="L797" s="1658"/>
      <c r="M797" s="1658"/>
      <c r="N797" s="1659"/>
      <c r="O797" s="1496">
        <f>SUM(O787:S796)</f>
        <v>0</v>
      </c>
      <c r="P797" s="1496"/>
      <c r="Q797" s="1496"/>
      <c r="R797" s="1496"/>
      <c r="S797" s="1496"/>
      <c r="T797"/>
      <c r="U797"/>
      <c r="V797"/>
      <c r="W797"/>
      <c r="X797" s="937" t="s">
        <v>124</v>
      </c>
      <c r="Y797" s="11"/>
      <c r="Z797" s="11"/>
      <c r="AA797" s="11"/>
      <c r="AB797" s="944"/>
      <c r="AC797" s="1365">
        <f>SUM(AC787:AG796)</f>
        <v>0</v>
      </c>
      <c r="AD797" s="1366"/>
      <c r="AE797" s="1366"/>
      <c r="AF797" s="1366"/>
      <c r="AG797" s="136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94" t="str">
        <f>IF(O797&lt;&gt;AG438,"! Total market rate units in the Unit Mix Table above does not match the number of  market rate units on row #"&amp;TEXT(ROW(D438),"#"),"")</f>
        <v/>
      </c>
      <c r="D798" s="1394"/>
      <c r="E798" s="1394"/>
      <c r="F798" s="1394"/>
      <c r="G798" s="1394"/>
      <c r="H798" s="1394"/>
      <c r="I798" s="1394"/>
      <c r="J798" s="1394"/>
      <c r="K798" s="1394"/>
      <c r="L798" s="1394"/>
      <c r="M798" s="1394"/>
      <c r="N798" s="1394"/>
      <c r="O798" s="1394"/>
      <c r="P798" s="1394"/>
      <c r="Q798" s="1394"/>
      <c r="R798" s="1394"/>
      <c r="S798" s="1394"/>
      <c r="T798" s="1394"/>
      <c r="U798" s="1394"/>
      <c r="V798" s="1394"/>
      <c r="W798" s="1394"/>
      <c r="X798" s="1394"/>
      <c r="Y798" s="1394"/>
      <c r="Z798" s="1394"/>
      <c r="AA798" s="1394"/>
      <c r="AB798" s="1394"/>
      <c r="AC798" s="1394"/>
      <c r="AD798" s="1394"/>
      <c r="AE798" s="1394"/>
      <c r="AF798" s="1394"/>
      <c r="AG798" s="1394"/>
      <c r="AH798" s="1394"/>
      <c r="AI798" s="1394"/>
      <c r="AJ798" s="1394"/>
      <c r="AK798" s="1394"/>
      <c r="AL798" s="1394"/>
      <c r="AM798" s="1394"/>
      <c r="AN798" s="139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94"/>
      <c r="D799" s="1394"/>
      <c r="E799" s="1394"/>
      <c r="F799" s="1394"/>
      <c r="G799" s="1394"/>
      <c r="H799" s="1394"/>
      <c r="I799" s="1394"/>
      <c r="J799" s="1394"/>
      <c r="K799" s="1394"/>
      <c r="L799" s="1394"/>
      <c r="M799" s="1394"/>
      <c r="N799" s="1394"/>
      <c r="O799" s="1394"/>
      <c r="P799" s="1394"/>
      <c r="Q799" s="1394"/>
      <c r="R799" s="1394"/>
      <c r="S799" s="1394"/>
      <c r="T799" s="1394"/>
      <c r="U799" s="1394"/>
      <c r="V799" s="1394"/>
      <c r="W799" s="1394"/>
      <c r="X799" s="1394"/>
      <c r="Y799" s="1394"/>
      <c r="Z799" s="1394"/>
      <c r="AA799" s="1394"/>
      <c r="AB799" s="1394"/>
      <c r="AC799" s="1394"/>
      <c r="AD799" s="1394"/>
      <c r="AE799" s="1394"/>
      <c r="AF799" s="1394"/>
      <c r="AG799" s="1394"/>
      <c r="AH799" s="1394"/>
      <c r="AI799" s="1394"/>
      <c r="AJ799" s="1394"/>
      <c r="AK799" s="1394"/>
      <c r="AL799" s="1394"/>
      <c r="AM799" s="1394"/>
      <c r="AN799" s="139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45">
        <f>O753+AC777+AC797</f>
        <v>214922</v>
      </c>
      <c r="Z800" s="1745"/>
      <c r="AA800" s="1745"/>
      <c r="AB800" s="1745"/>
      <c r="AC800" s="174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5">
        <f>(O753+AC777+AC797)*12</f>
        <v>2579064</v>
      </c>
      <c r="Z801" s="1745"/>
      <c r="AA801" s="1745"/>
      <c r="AB801" s="1745"/>
      <c r="AC801" s="174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426"/>
      <c r="AA806" s="1427"/>
      <c r="AB806" s="1427"/>
      <c r="AC806" s="1427"/>
      <c r="AD806" s="1427"/>
      <c r="AE806" s="142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5"/>
      <c r="AA807" s="1427"/>
      <c r="AB807" s="1427"/>
      <c r="AC807" s="1427"/>
      <c r="AD807" s="1427"/>
      <c r="AE807" s="142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2"/>
      <c r="AA808" s="1583"/>
      <c r="AB808" s="1583"/>
      <c r="AC808" s="1583"/>
      <c r="AD808" s="1583"/>
      <c r="AE808" s="158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63">
        <f>'Subsidy Contract Calculation'!J40</f>
        <v>0</v>
      </c>
      <c r="AA809" s="1664"/>
      <c r="AB809" s="1664"/>
      <c r="AC809" s="1664"/>
      <c r="AD809" s="1664"/>
      <c r="AE809" s="166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6"/>
      <c r="AA813" s="1507"/>
      <c r="AB813" s="1507"/>
      <c r="AC813" s="1507"/>
      <c r="AD813" s="1507"/>
      <c r="AE813" s="150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6"/>
      <c r="AA814" s="1507"/>
      <c r="AB814" s="1507"/>
      <c r="AC814" s="1507"/>
      <c r="AD814" s="1507"/>
      <c r="AE814" s="150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6"/>
      <c r="AA815" s="1507"/>
      <c r="AB815" s="1507"/>
      <c r="AC815" s="1507"/>
      <c r="AD815" s="1507"/>
      <c r="AE815" s="150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31" t="s">
        <v>2757</v>
      </c>
      <c r="Q816" s="1632"/>
      <c r="R816" s="1632"/>
      <c r="S816" s="1632"/>
      <c r="T816" s="1632"/>
      <c r="U816" s="1632"/>
      <c r="V816" s="1632"/>
      <c r="W816" s="1632"/>
      <c r="X816" s="1632"/>
      <c r="Y816" s="1633"/>
      <c r="Z816" s="1506">
        <v>17184</v>
      </c>
      <c r="AA816" s="1507"/>
      <c r="AB816" s="1507"/>
      <c r="AC816" s="1507"/>
      <c r="AD816" s="1507"/>
      <c r="AE816" s="150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63">
        <f>SUM(Z813:AE816)</f>
        <v>17184</v>
      </c>
      <c r="AA817" s="1664"/>
      <c r="AB817" s="1664"/>
      <c r="AC817" s="1664"/>
      <c r="AD817" s="1664"/>
      <c r="AE817" s="166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63">
        <f>Z817+Y801+Z809</f>
        <v>2596248</v>
      </c>
      <c r="AA818" s="1664"/>
      <c r="AB818" s="1664"/>
      <c r="AC818" s="1664"/>
      <c r="AD818" s="1664"/>
      <c r="AE818" s="166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27" t="s">
        <v>126</v>
      </c>
      <c r="N823" s="1627"/>
      <c r="O823" s="1627"/>
      <c r="P823" s="1689"/>
      <c r="Q823" s="1422" t="s">
        <v>291</v>
      </c>
      <c r="R823" s="1422"/>
      <c r="S823" s="1422"/>
      <c r="T823" s="1422"/>
      <c r="U823" s="1422" t="s">
        <v>292</v>
      </c>
      <c r="V823" s="1422"/>
      <c r="W823" s="1422"/>
      <c r="X823" s="1422"/>
      <c r="Y823" s="1422" t="s">
        <v>293</v>
      </c>
      <c r="Z823" s="1422"/>
      <c r="AA823" s="1422"/>
      <c r="AB823" s="1422"/>
      <c r="AC823" s="1422" t="s">
        <v>362</v>
      </c>
      <c r="AD823" s="1422"/>
      <c r="AE823" s="1422"/>
      <c r="AF823" s="1422"/>
      <c r="AG823" s="1751" t="s">
        <v>336</v>
      </c>
      <c r="AH823" s="1751"/>
      <c r="AI823" s="1751"/>
      <c r="AJ823" s="175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89"/>
      <c r="N824" s="1589"/>
      <c r="O824" s="1589"/>
      <c r="P824" s="1590"/>
      <c r="Q824" s="1422"/>
      <c r="R824" s="1422"/>
      <c r="S824" s="1422"/>
      <c r="T824" s="1422"/>
      <c r="U824" s="1422"/>
      <c r="V824" s="1422"/>
      <c r="W824" s="1422"/>
      <c r="X824" s="1422"/>
      <c r="Y824" s="1422"/>
      <c r="Z824" s="1422"/>
      <c r="AA824" s="1422"/>
      <c r="AB824" s="1422"/>
      <c r="AC824" s="1422"/>
      <c r="AD824" s="1422"/>
      <c r="AE824" s="1422"/>
      <c r="AF824" s="1422"/>
      <c r="AG824" s="1751"/>
      <c r="AH824" s="1751"/>
      <c r="AI824" s="1751"/>
      <c r="AJ824" s="175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25" t="s">
        <v>40</v>
      </c>
      <c r="D825" s="1420"/>
      <c r="E825" s="1420"/>
      <c r="F825" s="1420"/>
      <c r="G825" s="1420"/>
      <c r="H825" s="1420"/>
      <c r="I825" s="48"/>
      <c r="J825" s="48"/>
      <c r="K825" s="48"/>
      <c r="L825" s="49"/>
      <c r="M825" s="1636">
        <v>26</v>
      </c>
      <c r="N825" s="1636"/>
      <c r="O825" s="1636"/>
      <c r="P825" s="1636"/>
      <c r="Q825" s="1636"/>
      <c r="R825" s="1636"/>
      <c r="S825" s="1636"/>
      <c r="T825" s="1636"/>
      <c r="U825" s="1636"/>
      <c r="V825" s="1636"/>
      <c r="W825" s="1636"/>
      <c r="X825" s="1636"/>
      <c r="Y825" s="1636"/>
      <c r="Z825" s="1636"/>
      <c r="AA825" s="1636"/>
      <c r="AB825" s="1636"/>
      <c r="AC825" s="1503"/>
      <c r="AD825" s="1504"/>
      <c r="AE825" s="1504"/>
      <c r="AF825" s="1505"/>
      <c r="AG825" s="1503"/>
      <c r="AH825" s="1504"/>
      <c r="AI825" s="1504"/>
      <c r="AJ825" s="150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34" t="s">
        <v>41</v>
      </c>
      <c r="D826" s="1635"/>
      <c r="E826" s="1635"/>
      <c r="F826" s="1635"/>
      <c r="G826" s="1635"/>
      <c r="H826" s="1635"/>
      <c r="I826" s="5"/>
      <c r="J826" s="5"/>
      <c r="K826" s="5"/>
      <c r="L826" s="46"/>
      <c r="M826" s="1636">
        <v>27</v>
      </c>
      <c r="N826" s="1636"/>
      <c r="O826" s="1636"/>
      <c r="P826" s="1636"/>
      <c r="Q826" s="1636"/>
      <c r="R826" s="1636"/>
      <c r="S826" s="1636"/>
      <c r="T826" s="1636"/>
      <c r="U826" s="1636"/>
      <c r="V826" s="1636"/>
      <c r="W826" s="1636"/>
      <c r="X826" s="1636"/>
      <c r="Y826" s="1636"/>
      <c r="Z826" s="1636"/>
      <c r="AA826" s="1636"/>
      <c r="AB826" s="1636"/>
      <c r="AC826" s="1503"/>
      <c r="AD826" s="1504"/>
      <c r="AE826" s="1504"/>
      <c r="AF826" s="1505"/>
      <c r="AG826" s="1503"/>
      <c r="AH826" s="1504"/>
      <c r="AI826" s="1504"/>
      <c r="AJ826" s="150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34" t="s">
        <v>42</v>
      </c>
      <c r="D827" s="1635"/>
      <c r="E827" s="1635"/>
      <c r="F827" s="1635"/>
      <c r="G827" s="1635"/>
      <c r="H827" s="1635"/>
      <c r="I827" s="60"/>
      <c r="J827" s="60"/>
      <c r="K827" s="60"/>
      <c r="L827" s="61"/>
      <c r="M827" s="1636">
        <v>12</v>
      </c>
      <c r="N827" s="1636"/>
      <c r="O827" s="1636"/>
      <c r="P827" s="1636"/>
      <c r="Q827" s="1636"/>
      <c r="R827" s="1636"/>
      <c r="S827" s="1636"/>
      <c r="T827" s="1636"/>
      <c r="U827" s="1636"/>
      <c r="V827" s="1636"/>
      <c r="W827" s="1636"/>
      <c r="X827" s="1636"/>
      <c r="Y827" s="1636"/>
      <c r="Z827" s="1636"/>
      <c r="AA827" s="1636"/>
      <c r="AB827" s="1636"/>
      <c r="AC827" s="1503"/>
      <c r="AD827" s="1504"/>
      <c r="AE827" s="1504"/>
      <c r="AF827" s="1505"/>
      <c r="AG827" s="1503"/>
      <c r="AH827" s="1504"/>
      <c r="AI827" s="1504"/>
      <c r="AJ827" s="150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34" t="s">
        <v>772</v>
      </c>
      <c r="D828" s="1635"/>
      <c r="E828" s="1635"/>
      <c r="F828" s="1635"/>
      <c r="G828" s="1635"/>
      <c r="H828" s="1635"/>
      <c r="I828" s="60"/>
      <c r="J828" s="60"/>
      <c r="K828" s="60"/>
      <c r="L828" s="61"/>
      <c r="M828" s="1636">
        <v>45</v>
      </c>
      <c r="N828" s="1636"/>
      <c r="O828" s="1636"/>
      <c r="P828" s="1636"/>
      <c r="Q828" s="1636"/>
      <c r="R828" s="1636"/>
      <c r="S828" s="1636"/>
      <c r="T828" s="1636"/>
      <c r="U828" s="1636"/>
      <c r="V828" s="1636"/>
      <c r="W828" s="1636"/>
      <c r="X828" s="1636"/>
      <c r="Y828" s="1636"/>
      <c r="Z828" s="1636"/>
      <c r="AA828" s="1636"/>
      <c r="AB828" s="1636"/>
      <c r="AC828" s="1503"/>
      <c r="AD828" s="1504"/>
      <c r="AE828" s="1504"/>
      <c r="AF828" s="1505"/>
      <c r="AG828" s="1503"/>
      <c r="AH828" s="1504"/>
      <c r="AI828" s="1504"/>
      <c r="AJ828" s="150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34" t="s">
        <v>468</v>
      </c>
      <c r="D829" s="1635"/>
      <c r="E829" s="1635"/>
      <c r="F829" s="1635"/>
      <c r="G829" s="1635"/>
      <c r="H829" s="1635"/>
      <c r="I829" s="60"/>
      <c r="J829" s="60"/>
      <c r="K829" s="60"/>
      <c r="L829" s="61"/>
      <c r="M829" s="1636"/>
      <c r="N829" s="1636"/>
      <c r="O829" s="1636"/>
      <c r="P829" s="1636"/>
      <c r="Q829" s="1636"/>
      <c r="R829" s="1636"/>
      <c r="S829" s="1636"/>
      <c r="T829" s="1636"/>
      <c r="U829" s="1636"/>
      <c r="V829" s="1636"/>
      <c r="W829" s="1636"/>
      <c r="X829" s="1636"/>
      <c r="Y829" s="1636"/>
      <c r="Z829" s="1636"/>
      <c r="AA829" s="1636"/>
      <c r="AB829" s="1636"/>
      <c r="AC829" s="1503"/>
      <c r="AD829" s="1504"/>
      <c r="AE829" s="1504"/>
      <c r="AF829" s="1505"/>
      <c r="AG829" s="1503"/>
      <c r="AH829" s="1504"/>
      <c r="AI829" s="1504"/>
      <c r="AJ829" s="150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55" t="s">
        <v>793</v>
      </c>
      <c r="D830" s="1635"/>
      <c r="E830" s="1635"/>
      <c r="F830" s="1635"/>
      <c r="G830" s="1635"/>
      <c r="H830" s="1635"/>
      <c r="I830" s="60"/>
      <c r="J830" s="60"/>
      <c r="K830" s="60"/>
      <c r="L830" s="61"/>
      <c r="M830" s="1636"/>
      <c r="N830" s="1636"/>
      <c r="O830" s="1636"/>
      <c r="P830" s="1636"/>
      <c r="Q830" s="1636"/>
      <c r="R830" s="1636"/>
      <c r="S830" s="1636"/>
      <c r="T830" s="1636"/>
      <c r="U830" s="1636"/>
      <c r="V830" s="1636"/>
      <c r="W830" s="1636"/>
      <c r="X830" s="1636"/>
      <c r="Y830" s="1636"/>
      <c r="Z830" s="1636"/>
      <c r="AA830" s="1636"/>
      <c r="AB830" s="1636"/>
      <c r="AC830" s="1503"/>
      <c r="AD830" s="1504"/>
      <c r="AE830" s="1504"/>
      <c r="AF830" s="1505"/>
      <c r="AG830" s="1503"/>
      <c r="AH830" s="1504"/>
      <c r="AI830" s="1504"/>
      <c r="AJ830" s="150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31" t="s">
        <v>335</v>
      </c>
      <c r="G831" s="1632"/>
      <c r="H831" s="1632"/>
      <c r="I831" s="1632"/>
      <c r="J831" s="1632"/>
      <c r="K831" s="1632"/>
      <c r="L831" s="1632"/>
      <c r="M831" s="1636"/>
      <c r="N831" s="1636"/>
      <c r="O831" s="1636"/>
      <c r="P831" s="1636"/>
      <c r="Q831" s="1636"/>
      <c r="R831" s="1636"/>
      <c r="S831" s="1636"/>
      <c r="T831" s="1636"/>
      <c r="U831" s="1636"/>
      <c r="V831" s="1636"/>
      <c r="W831" s="1636"/>
      <c r="X831" s="1636"/>
      <c r="Y831" s="1636"/>
      <c r="Z831" s="1636"/>
      <c r="AA831" s="1636"/>
      <c r="AB831" s="1636"/>
      <c r="AC831" s="1503"/>
      <c r="AD831" s="1504"/>
      <c r="AE831" s="1504"/>
      <c r="AF831" s="1505"/>
      <c r="AG831" s="1503"/>
      <c r="AH831" s="1504"/>
      <c r="AI831" s="1504"/>
      <c r="AJ831" s="150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57" t="s">
        <v>124</v>
      </c>
      <c r="D832" s="1658"/>
      <c r="E832" s="1658"/>
      <c r="F832" s="1658"/>
      <c r="G832" s="1658"/>
      <c r="H832" s="1658"/>
      <c r="I832" s="1658"/>
      <c r="J832" s="1658"/>
      <c r="K832" s="1658"/>
      <c r="L832" s="1659"/>
      <c r="M832" s="1685">
        <f>SUM(M825:P831)</f>
        <v>110</v>
      </c>
      <c r="N832" s="1685"/>
      <c r="O832" s="1685"/>
      <c r="P832" s="1685"/>
      <c r="Q832" s="1685">
        <f>SUM(Q825:T831)</f>
        <v>0</v>
      </c>
      <c r="R832" s="1685"/>
      <c r="S832" s="1685"/>
      <c r="T832" s="1685"/>
      <c r="U832" s="1685">
        <f>SUM(U825:X831)</f>
        <v>0</v>
      </c>
      <c r="V832" s="1685"/>
      <c r="W832" s="1685"/>
      <c r="X832" s="1685"/>
      <c r="Y832" s="1685">
        <f>SUM(Y825:AB831)</f>
        <v>0</v>
      </c>
      <c r="Z832" s="1685"/>
      <c r="AA832" s="1685"/>
      <c r="AB832" s="1685"/>
      <c r="AC832" s="1685">
        <f>SUM(AC825:AF831)</f>
        <v>0</v>
      </c>
      <c r="AD832" s="1685"/>
      <c r="AE832" s="1685"/>
      <c r="AF832" s="1685"/>
      <c r="AG832" s="1685">
        <f>SUM(AG825:AJ831)</f>
        <v>0</v>
      </c>
      <c r="AH832" s="1685"/>
      <c r="AI832" s="1685"/>
      <c r="AJ832" s="168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86" t="s">
        <v>2743</v>
      </c>
      <c r="D837" s="1687"/>
      <c r="E837" s="1687"/>
      <c r="F837" s="1687"/>
      <c r="G837" s="1687"/>
      <c r="H837" s="1687"/>
      <c r="I837" s="1687"/>
      <c r="J837" s="1687"/>
      <c r="K837" s="1687"/>
      <c r="L837" s="1687"/>
      <c r="M837" s="1687"/>
      <c r="N837" s="1687"/>
      <c r="O837" s="1687"/>
      <c r="P837" s="1687"/>
      <c r="Q837" s="1687"/>
      <c r="R837" s="1687"/>
      <c r="S837" s="1687"/>
      <c r="T837" s="1687"/>
      <c r="U837" s="1687"/>
      <c r="V837" s="1687"/>
      <c r="W837" s="1687"/>
      <c r="X837" s="1687"/>
      <c r="Y837" s="1687"/>
      <c r="Z837" s="1687"/>
      <c r="AA837" s="1687"/>
      <c r="AB837" s="1687"/>
      <c r="AC837" s="1687"/>
      <c r="AD837" s="1687"/>
      <c r="AE837" s="1687"/>
      <c r="AF837" s="1687"/>
      <c r="AG837" s="1687"/>
      <c r="AH837" s="1687"/>
      <c r="AI837" s="1687"/>
      <c r="AJ837" s="168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3">
        <f>ROUNDDOWN(BC939*2,2)</f>
        <v>0</v>
      </c>
      <c r="BJ841" s="1683"/>
      <c r="BK841" s="1683"/>
      <c r="BL841" s="1683"/>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514">
        <v>22000</v>
      </c>
      <c r="X842" s="1514"/>
      <c r="Y842" s="1514"/>
      <c r="Z842" s="1514"/>
      <c r="AA842" s="1514"/>
      <c r="AB842" s="1514"/>
      <c r="AC842" s="1514"/>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514">
        <v>16600</v>
      </c>
      <c r="X843" s="1514"/>
      <c r="Y843" s="1514"/>
      <c r="Z843" s="1514"/>
      <c r="AA843" s="1514"/>
      <c r="AB843" s="1514"/>
      <c r="AC843" s="1514"/>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514">
        <v>17560</v>
      </c>
      <c r="X844" s="1514"/>
      <c r="Y844" s="1514"/>
      <c r="Z844" s="1514"/>
      <c r="AA844" s="1514"/>
      <c r="AB844" s="1514"/>
      <c r="AC844" s="1514"/>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514">
        <v>15000</v>
      </c>
      <c r="X845" s="1514"/>
      <c r="Y845" s="1514"/>
      <c r="Z845" s="1514"/>
      <c r="AA845" s="1514"/>
      <c r="AB845" s="1514"/>
      <c r="AC845" s="1514"/>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31" t="s">
        <v>2744</v>
      </c>
      <c r="N846" s="1632"/>
      <c r="O846" s="1632"/>
      <c r="P846" s="1632"/>
      <c r="Q846" s="1632"/>
      <c r="R846" s="1632"/>
      <c r="S846" s="1632"/>
      <c r="T846" s="1632"/>
      <c r="U846" s="1632"/>
      <c r="V846" s="1633"/>
      <c r="W846" s="1514">
        <f>106728-SUM(W842:AC845)</f>
        <v>35568</v>
      </c>
      <c r="X846" s="1514"/>
      <c r="Y846" s="1514"/>
      <c r="Z846" s="1514"/>
      <c r="AA846" s="1514"/>
      <c r="AB846" s="1514"/>
      <c r="AC846" s="1514"/>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63">
        <f>SUM(W842:AC846)</f>
        <v>106728</v>
      </c>
      <c r="X847" s="1664"/>
      <c r="Y847" s="1664"/>
      <c r="Z847" s="1664"/>
      <c r="AA847" s="1664"/>
      <c r="AB847" s="1664"/>
      <c r="AC847" s="166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70"/>
      <c r="BH848" s="1670"/>
      <c r="BI848" s="1670"/>
      <c r="BJ848" s="1670"/>
      <c r="BK848" s="1670"/>
      <c r="BL848" s="167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657" t="s">
        <v>346</v>
      </c>
      <c r="K849" s="1658"/>
      <c r="L849" s="1658"/>
      <c r="M849" s="1658"/>
      <c r="N849" s="1658"/>
      <c r="O849" s="1658"/>
      <c r="P849" s="1658"/>
      <c r="Q849" s="1658"/>
      <c r="R849" s="1658"/>
      <c r="S849" s="1658"/>
      <c r="T849" s="1658"/>
      <c r="U849" s="1658"/>
      <c r="V849" s="1659"/>
      <c r="W849" s="1506">
        <v>180534</v>
      </c>
      <c r="X849" s="1507"/>
      <c r="Y849" s="1507"/>
      <c r="Z849" s="1507"/>
      <c r="AA849" s="1507"/>
      <c r="AB849" s="1507"/>
      <c r="AC849" s="150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744"/>
      <c r="X851" s="1744"/>
      <c r="Y851" s="1744"/>
      <c r="Z851" s="1744"/>
      <c r="AA851" s="1744"/>
      <c r="AB851" s="1744"/>
      <c r="AC851" s="1744"/>
      <c r="AZ851" s="1750">
        <f>SUM(AZ818:AZ846)</f>
        <v>7.5000000000000011E-2</v>
      </c>
      <c r="BA851" s="175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44"/>
      <c r="X852" s="1744"/>
      <c r="Y852" s="1744"/>
      <c r="Z852" s="1744"/>
      <c r="AA852" s="1744"/>
      <c r="AB852" s="1744"/>
      <c r="AC852" s="174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744">
        <f>76908+50000</f>
        <v>126908</v>
      </c>
      <c r="X853" s="1744"/>
      <c r="Y853" s="1744"/>
      <c r="Z853" s="1744"/>
      <c r="AA853" s="1744"/>
      <c r="AB853" s="1744"/>
      <c r="AC853" s="174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744">
        <f>39000*2</f>
        <v>78000</v>
      </c>
      <c r="X854" s="1744"/>
      <c r="Y854" s="1744"/>
      <c r="Z854" s="1744"/>
      <c r="AA854" s="1744"/>
      <c r="AB854" s="1744"/>
      <c r="AC854" s="174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729">
        <f>SUM(W851:AC854)</f>
        <v>204908</v>
      </c>
      <c r="X855" s="1729"/>
      <c r="Y855" s="1729"/>
      <c r="Z855" s="1729"/>
      <c r="AA855" s="1729"/>
      <c r="AB855" s="1729"/>
      <c r="AC855" s="172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732">
        <v>180000</v>
      </c>
      <c r="X857" s="1733"/>
      <c r="Y857" s="1733"/>
      <c r="Z857" s="1733"/>
      <c r="AA857" s="1733"/>
      <c r="AB857" s="1733"/>
      <c r="AC857" s="173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1768</v>
      </c>
      <c r="K858" s="5"/>
      <c r="L858" s="5"/>
      <c r="M858" s="5"/>
      <c r="N858" s="5"/>
      <c r="O858" s="5"/>
      <c r="P858" s="5"/>
      <c r="Q858" s="5"/>
      <c r="R858" s="5"/>
      <c r="S858" s="5"/>
      <c r="T858" s="1738">
        <v>2</v>
      </c>
      <c r="U858" s="1739"/>
      <c r="V858" s="174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732">
        <v>130000</v>
      </c>
      <c r="X859" s="1733"/>
      <c r="Y859" s="1733"/>
      <c r="Z859" s="1733"/>
      <c r="AA859" s="1733"/>
      <c r="AB859" s="1733"/>
      <c r="AC859" s="173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1769</v>
      </c>
      <c r="K860" s="5"/>
      <c r="L860" s="5"/>
      <c r="M860" s="5"/>
      <c r="N860" s="5"/>
      <c r="O860" s="5"/>
      <c r="P860" s="5"/>
      <c r="Q860" s="5"/>
      <c r="R860" s="5"/>
      <c r="S860" s="5"/>
      <c r="T860" s="1738">
        <v>2</v>
      </c>
      <c r="U860" s="1739"/>
      <c r="V860" s="174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31" t="s">
        <v>2745</v>
      </c>
      <c r="N861" s="1632"/>
      <c r="O861" s="1632"/>
      <c r="P861" s="1632"/>
      <c r="Q861" s="1632"/>
      <c r="R861" s="1632"/>
      <c r="S861" s="1632"/>
      <c r="T861" s="1632"/>
      <c r="U861" s="1632"/>
      <c r="V861" s="1633"/>
      <c r="W861" s="1732">
        <v>126000</v>
      </c>
      <c r="X861" s="1733"/>
      <c r="Y861" s="1733"/>
      <c r="Z861" s="1733"/>
      <c r="AA861" s="1733"/>
      <c r="AB861" s="1733"/>
      <c r="AC861" s="173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41">
        <f>SUM(W857:AC861)</f>
        <v>436000</v>
      </c>
      <c r="X862" s="1742"/>
      <c r="Y862" s="1742"/>
      <c r="Z862" s="1742"/>
      <c r="AA862" s="1742"/>
      <c r="AB862" s="1742"/>
      <c r="AC862" s="174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732">
        <v>135000</v>
      </c>
      <c r="X863" s="1733"/>
      <c r="Y863" s="1733"/>
      <c r="Z863" s="1733"/>
      <c r="AA863" s="1733"/>
      <c r="AB863" s="1733"/>
      <c r="AC863" s="1734"/>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514">
        <v>20718</v>
      </c>
      <c r="X865" s="1514"/>
      <c r="Y865" s="1514"/>
      <c r="Z865" s="1514"/>
      <c r="AA865" s="1514"/>
      <c r="AB865" s="1514"/>
      <c r="AC865" s="151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514">
        <f>36880+25000</f>
        <v>61880</v>
      </c>
      <c r="X866" s="1514"/>
      <c r="Y866" s="1514"/>
      <c r="Z866" s="1514"/>
      <c r="AA866" s="1514"/>
      <c r="AB866" s="1514"/>
      <c r="AC866" s="151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514">
        <v>24000</v>
      </c>
      <c r="X867" s="1514"/>
      <c r="Y867" s="1514"/>
      <c r="Z867" s="1514"/>
      <c r="AA867" s="1514"/>
      <c r="AB867" s="1514"/>
      <c r="AC867" s="151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514">
        <v>8500</v>
      </c>
      <c r="X868" s="1514"/>
      <c r="Y868" s="1514"/>
      <c r="Z868" s="1514"/>
      <c r="AA868" s="1514"/>
      <c r="AB868" s="1514"/>
      <c r="AC868" s="151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514">
        <v>17563</v>
      </c>
      <c r="X869" s="1514"/>
      <c r="Y869" s="1514"/>
      <c r="Z869" s="1514"/>
      <c r="AA869" s="1514"/>
      <c r="AB869" s="1514"/>
      <c r="AC869" s="151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514">
        <v>12500</v>
      </c>
      <c r="X870" s="1514"/>
      <c r="Y870" s="1514"/>
      <c r="Z870" s="1514"/>
      <c r="AA870" s="1514"/>
      <c r="AB870" s="1514"/>
      <c r="AC870" s="151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31" t="s">
        <v>2746</v>
      </c>
      <c r="N871" s="1632"/>
      <c r="O871" s="1632"/>
      <c r="P871" s="1632"/>
      <c r="Q871" s="1632"/>
      <c r="R871" s="1632"/>
      <c r="S871" s="1632"/>
      <c r="T871" s="1632"/>
      <c r="U871" s="1632"/>
      <c r="V871" s="1633"/>
      <c r="W871" s="1514">
        <v>4743</v>
      </c>
      <c r="X871" s="1514"/>
      <c r="Y871" s="1514"/>
      <c r="Z871" s="1514"/>
      <c r="AA871" s="1514"/>
      <c r="AB871" s="1514"/>
      <c r="AC871" s="1514"/>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45">
        <f>SUM(W865:AC871)</f>
        <v>149904</v>
      </c>
      <c r="X872" s="1745"/>
      <c r="Y872" s="1745"/>
      <c r="Z872" s="1745"/>
      <c r="AA872" s="1745"/>
      <c r="AB872" s="1745"/>
      <c r="AC872" s="174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31" t="s">
        <v>335</v>
      </c>
      <c r="N874" s="1632"/>
      <c r="O874" s="1632"/>
      <c r="P874" s="1632"/>
      <c r="Q874" s="1632"/>
      <c r="R874" s="1632"/>
      <c r="S874" s="1632"/>
      <c r="T874" s="1632"/>
      <c r="U874" s="1632"/>
      <c r="V874" s="1633"/>
      <c r="W874" s="1506"/>
      <c r="X874" s="1507"/>
      <c r="Y874" s="1507"/>
      <c r="Z874" s="1507"/>
      <c r="AA874" s="1507"/>
      <c r="AB874" s="1507"/>
      <c r="AC874" s="150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31" t="s">
        <v>335</v>
      </c>
      <c r="N875" s="1632"/>
      <c r="O875" s="1632"/>
      <c r="P875" s="1632"/>
      <c r="Q875" s="1632"/>
      <c r="R875" s="1632"/>
      <c r="S875" s="1632"/>
      <c r="T875" s="1632"/>
      <c r="U875" s="1632"/>
      <c r="V875" s="1633"/>
      <c r="W875" s="1506"/>
      <c r="X875" s="1507"/>
      <c r="Y875" s="1507"/>
      <c r="Z875" s="1507"/>
      <c r="AA875" s="1507"/>
      <c r="AB875" s="1507"/>
      <c r="AC875" s="150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31" t="s">
        <v>335</v>
      </c>
      <c r="N876" s="1632"/>
      <c r="O876" s="1632"/>
      <c r="P876" s="1632"/>
      <c r="Q876" s="1632"/>
      <c r="R876" s="1632"/>
      <c r="S876" s="1632"/>
      <c r="T876" s="1632"/>
      <c r="U876" s="1632"/>
      <c r="V876" s="1633"/>
      <c r="W876" s="1506"/>
      <c r="X876" s="1507"/>
      <c r="Y876" s="1507"/>
      <c r="Z876" s="1507"/>
      <c r="AA876" s="1507"/>
      <c r="AB876" s="1507"/>
      <c r="AC876" s="150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31" t="s">
        <v>335</v>
      </c>
      <c r="N877" s="1632"/>
      <c r="O877" s="1632"/>
      <c r="P877" s="1632"/>
      <c r="Q877" s="1632"/>
      <c r="R877" s="1632"/>
      <c r="S877" s="1632"/>
      <c r="T877" s="1632"/>
      <c r="U877" s="1632"/>
      <c r="V877" s="1633"/>
      <c r="W877" s="1506"/>
      <c r="X877" s="1507"/>
      <c r="Y877" s="1507"/>
      <c r="Z877" s="1507"/>
      <c r="AA877" s="1507"/>
      <c r="AB877" s="1507"/>
      <c r="AC877" s="150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31" t="s">
        <v>335</v>
      </c>
      <c r="N878" s="1632"/>
      <c r="O878" s="1632"/>
      <c r="P878" s="1632"/>
      <c r="Q878" s="1632"/>
      <c r="R878" s="1632"/>
      <c r="S878" s="1632"/>
      <c r="T878" s="1632"/>
      <c r="U878" s="1632"/>
      <c r="V878" s="1633"/>
      <c r="W878" s="1506"/>
      <c r="X878" s="1507"/>
      <c r="Y878" s="1507"/>
      <c r="Z878" s="1507"/>
      <c r="AA878" s="1507"/>
      <c r="AB878" s="1507"/>
      <c r="AC878" s="150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63">
        <f>SUM(W874:AC878)</f>
        <v>0</v>
      </c>
      <c r="X879" s="1664"/>
      <c r="Y879" s="1664"/>
      <c r="Z879" s="1664"/>
      <c r="AA879" s="1664"/>
      <c r="AB879" s="1664"/>
      <c r="AC879" s="166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64">
        <f>W847+W855+W862+W863+W872+W879+W849</f>
        <v>1213074</v>
      </c>
      <c r="AD883" s="1664"/>
      <c r="AE883" s="1664"/>
      <c r="AF883" s="1664"/>
      <c r="AG883" s="1664"/>
      <c r="AH883" s="166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46">
        <f>O797+O777+G753</f>
        <v>179</v>
      </c>
      <c r="AD884" s="1746"/>
      <c r="AE884" s="1746"/>
      <c r="AF884" s="1746"/>
      <c r="AG884" s="1746"/>
      <c r="AH884" s="174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75" t="s">
        <v>32</v>
      </c>
      <c r="F885" s="1675"/>
      <c r="G885" s="1675"/>
      <c r="H885" s="1675"/>
      <c r="I885" s="1675"/>
      <c r="J885" s="1675"/>
      <c r="K885" s="1675"/>
      <c r="L885" s="1675"/>
      <c r="M885" s="1675"/>
      <c r="N885" s="1675"/>
      <c r="O885" s="1675"/>
      <c r="P885" s="1675"/>
      <c r="Q885" s="1675"/>
      <c r="R885" s="1675"/>
      <c r="S885" s="1675"/>
      <c r="T885" s="1675"/>
      <c r="U885" s="1675"/>
      <c r="V885" s="1675"/>
      <c r="W885" s="1675"/>
      <c r="X885" s="1675"/>
      <c r="Y885" s="1675"/>
      <c r="Z885" s="1675"/>
      <c r="AA885" s="1675"/>
      <c r="AB885" s="1676"/>
      <c r="AC885" s="1745">
        <f>IF(ISERROR((ROUNDDOWN(AC883/AC884,0))),0,(ROUNDDOWN(AC883/AC884,0)))</f>
        <v>6776</v>
      </c>
      <c r="AD885" s="1745"/>
      <c r="AE885" s="1745"/>
      <c r="AF885" s="1745"/>
      <c r="AG885" s="1745"/>
      <c r="AH885" s="174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8">
        <f>'Sources and Uses Budget'!C75</f>
        <v>1094900</v>
      </c>
      <c r="AD886" s="1749"/>
      <c r="AE886" s="1749"/>
      <c r="AF886" s="1749"/>
      <c r="AG886" s="1749"/>
      <c r="AH886" s="174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8"/>
      <c r="AD887" s="1514"/>
      <c r="AE887" s="1514"/>
      <c r="AF887" s="1514"/>
      <c r="AG887" s="1514"/>
      <c r="AH887" s="151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7">
        <v>25000</v>
      </c>
      <c r="AD888" s="1507"/>
      <c r="AE888" s="1507"/>
      <c r="AF888" s="1507"/>
      <c r="AG888" s="1507"/>
      <c r="AH888" s="150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7">
        <v>89500</v>
      </c>
      <c r="AD889" s="1507"/>
      <c r="AE889" s="1507"/>
      <c r="AF889" s="1507"/>
      <c r="AG889" s="1507"/>
      <c r="AH889" s="150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03"/>
      <c r="AD890" s="1504"/>
      <c r="AE890" s="1504"/>
      <c r="AF890" s="1504"/>
      <c r="AG890" s="1504"/>
      <c r="AH890" s="150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7">
        <v>3000</v>
      </c>
      <c r="AD891" s="1507"/>
      <c r="AE891" s="1507"/>
      <c r="AF891" s="1507"/>
      <c r="AG891" s="1507"/>
      <c r="AH891" s="150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07"/>
      <c r="AD892" s="1507"/>
      <c r="AE892" s="1507"/>
      <c r="AF892" s="1507"/>
      <c r="AG892" s="1507"/>
      <c r="AH892" s="150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735" t="s">
        <v>2756</v>
      </c>
      <c r="D893" s="1736"/>
      <c r="E893" s="1736"/>
      <c r="F893" s="1736"/>
      <c r="G893" s="1736"/>
      <c r="H893" s="1736"/>
      <c r="I893" s="1736"/>
      <c r="J893" s="1736"/>
      <c r="K893" s="1736"/>
      <c r="L893" s="1736"/>
      <c r="M893" s="1736"/>
      <c r="N893" s="1736"/>
      <c r="O893" s="1736"/>
      <c r="P893" s="1736"/>
      <c r="Q893" s="1736"/>
      <c r="R893" s="1736"/>
      <c r="S893" s="1736"/>
      <c r="T893" s="1736"/>
      <c r="U893" s="1736"/>
      <c r="V893" s="1736"/>
      <c r="W893" s="1736"/>
      <c r="X893" s="1736"/>
      <c r="Y893" s="1736"/>
      <c r="Z893" s="1736"/>
      <c r="AA893" s="1736"/>
      <c r="AB893" s="1737"/>
      <c r="AC893" s="1514">
        <v>5791</v>
      </c>
      <c r="AD893" s="1514"/>
      <c r="AE893" s="1514"/>
      <c r="AF893" s="1514"/>
      <c r="AG893" s="1514"/>
      <c r="AH893" s="151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735" t="s">
        <v>976</v>
      </c>
      <c r="D894" s="1736"/>
      <c r="E894" s="1736"/>
      <c r="F894" s="1736"/>
      <c r="G894" s="1736"/>
      <c r="H894" s="1736"/>
      <c r="I894" s="1736"/>
      <c r="J894" s="1736"/>
      <c r="K894" s="1736"/>
      <c r="L894" s="1736"/>
      <c r="M894" s="1736"/>
      <c r="N894" s="1736"/>
      <c r="O894" s="1736"/>
      <c r="P894" s="1736"/>
      <c r="Q894" s="1736"/>
      <c r="R894" s="1736"/>
      <c r="S894" s="1736"/>
      <c r="T894" s="1736"/>
      <c r="U894" s="1736"/>
      <c r="V894" s="1736"/>
      <c r="W894" s="1736"/>
      <c r="X894" s="1736"/>
      <c r="Y894" s="1736"/>
      <c r="Z894" s="1736"/>
      <c r="AA894" s="1736"/>
      <c r="AB894" s="1737"/>
      <c r="AC894" s="1514"/>
      <c r="AD894" s="1514"/>
      <c r="AE894" s="1514"/>
      <c r="AF894" s="1514"/>
      <c r="AG894" s="1514"/>
      <c r="AH894" s="151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06"/>
      <c r="AA898" s="1507"/>
      <c r="AB898" s="1507"/>
      <c r="AC898" s="1507"/>
      <c r="AD898" s="1507"/>
      <c r="AE898" s="1508"/>
      <c r="AF898" s="567"/>
      <c r="AZ898" s="34"/>
      <c r="BB898" s="30"/>
      <c r="BC898" s="850"/>
      <c r="BD898" s="1669"/>
      <c r="BE898" s="166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06"/>
      <c r="AA899" s="1507"/>
      <c r="AB899" s="1507"/>
      <c r="AC899" s="1507"/>
      <c r="AD899" s="1507"/>
      <c r="AE899" s="1508"/>
      <c r="AZ899" s="34"/>
      <c r="BB899" s="30"/>
      <c r="BC899" s="850"/>
      <c r="BD899" s="1669"/>
      <c r="BE899" s="166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06"/>
      <c r="AA900" s="1507"/>
      <c r="AB900" s="1507"/>
      <c r="AC900" s="1507"/>
      <c r="AD900" s="1507"/>
      <c r="AE900" s="1508"/>
      <c r="AZ900" s="34"/>
      <c r="BB900" s="30"/>
      <c r="BC900" s="850"/>
      <c r="BD900" s="1670"/>
      <c r="BE900" s="167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63">
        <f>Z898-(Z899+Z900)</f>
        <v>0</v>
      </c>
      <c r="AA901" s="1664"/>
      <c r="AB901" s="1664"/>
      <c r="AC901" s="1664"/>
      <c r="AD901" s="1664"/>
      <c r="AE901" s="1665"/>
      <c r="AZ901" s="34"/>
      <c r="BB901" s="30"/>
      <c r="BC901" s="850"/>
      <c r="BD901" s="1670"/>
      <c r="BE901" s="167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0"/>
      <c r="BE902" s="167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9"/>
      <c r="BE903" s="167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0"/>
      <c r="BE904" s="1730"/>
      <c r="BF904" s="173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3"/>
      <c r="BE905" s="1683"/>
      <c r="BF905" s="168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0"/>
      <c r="BE906" s="167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9"/>
      <c r="BE907" s="167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43" t="s">
        <v>96</v>
      </c>
      <c r="B909" s="1443"/>
      <c r="C909" s="1443"/>
      <c r="D909" s="1443"/>
      <c r="E909" s="1443"/>
      <c r="F909" s="1443"/>
      <c r="G909" s="1443"/>
      <c r="H909" s="1443"/>
      <c r="I909" s="1443"/>
      <c r="J909" s="1443"/>
      <c r="K909" s="1443"/>
      <c r="L909" s="1443"/>
      <c r="M909" s="1443"/>
      <c r="N909" s="1443"/>
      <c r="O909" s="1443"/>
      <c r="P909" s="1443"/>
      <c r="Q909" s="1443"/>
      <c r="R909" s="1443"/>
      <c r="S909" s="1443"/>
      <c r="T909" s="1443"/>
      <c r="U909" s="1443"/>
      <c r="V909" s="1443"/>
      <c r="W909" s="1443"/>
      <c r="X909" s="1443"/>
      <c r="Y909" s="1443"/>
      <c r="Z909" s="1443"/>
      <c r="AA909" s="1443"/>
      <c r="AB909" s="1443"/>
      <c r="AC909" s="1443"/>
      <c r="AD909" s="1443"/>
      <c r="AE909" s="1443"/>
      <c r="AF909" s="1443"/>
      <c r="AG909" s="1443"/>
      <c r="AH909" s="1443"/>
      <c r="AI909" s="1443"/>
      <c r="AJ909" s="1443"/>
      <c r="AK909" s="1443"/>
      <c r="AL909" s="1443"/>
      <c r="AM909" s="1443"/>
      <c r="AN909" s="1443"/>
      <c r="AO909" s="1443"/>
      <c r="AP909" s="1443"/>
      <c r="AQ909" s="1443"/>
      <c r="AR909" s="1443"/>
      <c r="AS909" s="1443"/>
      <c r="AT909" s="1443"/>
      <c r="AZ909" s="34"/>
      <c r="BA909" s="34"/>
      <c r="BB909" s="30"/>
      <c r="BC909" s="30"/>
      <c r="BD909" s="1669"/>
      <c r="BE909" s="167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43"/>
      <c r="B910" s="1443"/>
      <c r="C910" s="1443"/>
      <c r="D910" s="1443"/>
      <c r="E910" s="1443"/>
      <c r="F910" s="1443"/>
      <c r="G910" s="1443"/>
      <c r="H910" s="1443"/>
      <c r="I910" s="1443"/>
      <c r="J910" s="1443"/>
      <c r="K910" s="1443"/>
      <c r="L910" s="1443"/>
      <c r="M910" s="1443"/>
      <c r="N910" s="1443"/>
      <c r="O910" s="1443"/>
      <c r="P910" s="1443"/>
      <c r="Q910" s="1443"/>
      <c r="R910" s="1443"/>
      <c r="S910" s="1443"/>
      <c r="T910" s="1443"/>
      <c r="U910" s="1443"/>
      <c r="V910" s="1443"/>
      <c r="W910" s="1443"/>
      <c r="X910" s="1443"/>
      <c r="Y910" s="1443"/>
      <c r="Z910" s="1443"/>
      <c r="AA910" s="1443"/>
      <c r="AB910" s="1443"/>
      <c r="AC910" s="1443"/>
      <c r="AD910" s="1443"/>
      <c r="AE910" s="1443"/>
      <c r="AF910" s="1443"/>
      <c r="AG910" s="1443"/>
      <c r="AH910" s="1443"/>
      <c r="AI910" s="1443"/>
      <c r="AJ910" s="1443"/>
      <c r="AK910" s="1443"/>
      <c r="AL910" s="1443"/>
      <c r="AM910" s="1443"/>
      <c r="AN910" s="1443"/>
      <c r="AO910" s="1443"/>
      <c r="AP910" s="1443"/>
      <c r="AQ910" s="1443"/>
      <c r="AR910" s="1443"/>
      <c r="AS910" s="1443"/>
      <c r="AT910" s="144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51" t="s">
        <v>802</v>
      </c>
      <c r="G914" s="1552"/>
      <c r="H914" s="1552"/>
      <c r="I914" s="1552"/>
      <c r="J914" s="1552"/>
      <c r="K914" s="1552"/>
      <c r="L914" s="1552"/>
      <c r="M914" s="1552"/>
      <c r="N914" s="1552"/>
      <c r="O914" s="1552"/>
      <c r="P914" s="1552"/>
      <c r="Q914" s="1552"/>
      <c r="R914" s="1552"/>
      <c r="S914" s="1552"/>
      <c r="T914" s="1553"/>
      <c r="U914" s="1626" t="s">
        <v>31</v>
      </c>
      <c r="V914" s="1627"/>
      <c r="W914" s="1627"/>
      <c r="X914" s="1627"/>
      <c r="Y914" s="1627"/>
      <c r="Z914" s="162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85" t="s">
        <v>828</v>
      </c>
      <c r="G915" s="1586"/>
      <c r="H915" s="1586"/>
      <c r="I915" s="1586"/>
      <c r="J915" s="1586"/>
      <c r="K915" s="1586"/>
      <c r="L915" s="1586"/>
      <c r="M915" s="1586"/>
      <c r="N915" s="1586"/>
      <c r="O915" s="1586"/>
      <c r="P915" s="1586"/>
      <c r="Q915" s="1586"/>
      <c r="R915" s="1586"/>
      <c r="S915" s="1586"/>
      <c r="T915" s="1587"/>
      <c r="U915" s="1585"/>
      <c r="V915" s="1586"/>
      <c r="W915" s="1586"/>
      <c r="X915" s="1586"/>
      <c r="Y915" s="1586"/>
      <c r="Z915" s="158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88"/>
      <c r="G916" s="1589"/>
      <c r="H916" s="1589"/>
      <c r="I916" s="1589"/>
      <c r="J916" s="1589"/>
      <c r="K916" s="1589"/>
      <c r="L916" s="1589"/>
      <c r="M916" s="1589"/>
      <c r="N916" s="1589"/>
      <c r="O916" s="1589"/>
      <c r="P916" s="1589"/>
      <c r="Q916" s="1589"/>
      <c r="R916" s="1589"/>
      <c r="S916" s="1589"/>
      <c r="T916" s="1590"/>
      <c r="U916" s="1588"/>
      <c r="V916" s="1589"/>
      <c r="W916" s="1589"/>
      <c r="X916" s="1589"/>
      <c r="Y916" s="1589"/>
      <c r="Z916" s="1589"/>
      <c r="AA916" s="108"/>
      <c r="AB916" s="1731" t="s">
        <v>392</v>
      </c>
      <c r="AC916" s="1731"/>
      <c r="AD916" s="1731"/>
      <c r="AE916" s="173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395" t="s">
        <v>554</v>
      </c>
      <c r="V917" s="1396"/>
      <c r="W917" s="1396"/>
      <c r="X917" s="1396"/>
      <c r="Y917" s="1396"/>
      <c r="Z917" s="1397"/>
      <c r="AA917" s="1398">
        <f>AM554</f>
        <v>46070813</v>
      </c>
      <c r="AB917" s="1399"/>
      <c r="AC917" s="1399"/>
      <c r="AD917" s="1399"/>
      <c r="AE917" s="1399"/>
      <c r="AF917" s="140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395" t="s">
        <v>554</v>
      </c>
      <c r="V918" s="1396"/>
      <c r="W918" s="1396"/>
      <c r="X918" s="1396"/>
      <c r="Y918" s="1396"/>
      <c r="Z918" s="1397"/>
      <c r="AA918" s="1398">
        <f>AM555</f>
        <v>31267978</v>
      </c>
      <c r="AB918" s="1399"/>
      <c r="AC918" s="1399"/>
      <c r="AD918" s="1399"/>
      <c r="AE918" s="1399"/>
      <c r="AF918" s="140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395" t="s">
        <v>600</v>
      </c>
      <c r="V919" s="1396"/>
      <c r="W919" s="1396"/>
      <c r="X919" s="1396"/>
      <c r="Y919" s="1396"/>
      <c r="Z919" s="1397"/>
      <c r="AA919" s="1398"/>
      <c r="AB919" s="1399"/>
      <c r="AC919" s="1399"/>
      <c r="AD919" s="1399"/>
      <c r="AE919" s="1399"/>
      <c r="AF919" s="140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395" t="s">
        <v>600</v>
      </c>
      <c r="V920" s="1396"/>
      <c r="W920" s="1396"/>
      <c r="X920" s="1396"/>
      <c r="Y920" s="1396"/>
      <c r="Z920" s="1397"/>
      <c r="AA920" s="1398"/>
      <c r="AB920" s="1399"/>
      <c r="AC920" s="1399"/>
      <c r="AD920" s="1399"/>
      <c r="AE920" s="1399"/>
      <c r="AF920" s="140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395" t="s">
        <v>600</v>
      </c>
      <c r="V921" s="1396"/>
      <c r="W921" s="1396"/>
      <c r="X921" s="1396"/>
      <c r="Y921" s="1396"/>
      <c r="Z921" s="1397"/>
      <c r="AA921" s="1398"/>
      <c r="AB921" s="1399"/>
      <c r="AC921" s="1399"/>
      <c r="AD921" s="1399"/>
      <c r="AE921" s="1399"/>
      <c r="AF921" s="140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395" t="s">
        <v>600</v>
      </c>
      <c r="V922" s="1396"/>
      <c r="W922" s="1396"/>
      <c r="X922" s="1396"/>
      <c r="Y922" s="1396"/>
      <c r="Z922" s="1397"/>
      <c r="AA922" s="1398"/>
      <c r="AB922" s="1399"/>
      <c r="AC922" s="1399"/>
      <c r="AD922" s="1399"/>
      <c r="AE922" s="1399"/>
      <c r="AF922" s="140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395" t="s">
        <v>600</v>
      </c>
      <c r="V923" s="1396"/>
      <c r="W923" s="1396"/>
      <c r="X923" s="1396"/>
      <c r="Y923" s="1396"/>
      <c r="Z923" s="1397"/>
      <c r="AA923" s="1398"/>
      <c r="AB923" s="1399"/>
      <c r="AC923" s="1399"/>
      <c r="AD923" s="1399"/>
      <c r="AE923" s="1399"/>
      <c r="AF923" s="140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395" t="s">
        <v>600</v>
      </c>
      <c r="V924" s="1396"/>
      <c r="W924" s="1396"/>
      <c r="X924" s="1396"/>
      <c r="Y924" s="1396"/>
      <c r="Z924" s="1397"/>
      <c r="AA924" s="1398"/>
      <c r="AB924" s="1399"/>
      <c r="AC924" s="1399"/>
      <c r="AD924" s="1399"/>
      <c r="AE924" s="1399"/>
      <c r="AF924" s="140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591" t="s">
        <v>2555</v>
      </c>
      <c r="G925" s="1592"/>
      <c r="H925" s="1592"/>
      <c r="I925" s="1592"/>
      <c r="J925" s="1592"/>
      <c r="K925" s="1592"/>
      <c r="L925" s="1592"/>
      <c r="M925" s="1592"/>
      <c r="N925" s="1592"/>
      <c r="O925" s="1592"/>
      <c r="P925" s="1592"/>
      <c r="Q925" s="1592"/>
      <c r="R925" s="1592"/>
      <c r="S925" s="1592"/>
      <c r="T925" s="1593"/>
      <c r="U925" s="1395" t="s">
        <v>600</v>
      </c>
      <c r="V925" s="1396"/>
      <c r="W925" s="1396"/>
      <c r="X925" s="1396"/>
      <c r="Y925" s="1396"/>
      <c r="Z925" s="1397"/>
      <c r="AA925" s="1398"/>
      <c r="AB925" s="1399"/>
      <c r="AC925" s="1399"/>
      <c r="AD925" s="1399"/>
      <c r="AE925" s="1399"/>
      <c r="AF925" s="140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591" t="s">
        <v>688</v>
      </c>
      <c r="G926" s="1592"/>
      <c r="H926" s="1592"/>
      <c r="I926" s="1592"/>
      <c r="J926" s="1592"/>
      <c r="K926" s="1592"/>
      <c r="L926" s="1592"/>
      <c r="M926" s="1592"/>
      <c r="N926" s="1592"/>
      <c r="O926" s="1592"/>
      <c r="P926" s="1592"/>
      <c r="Q926" s="1592"/>
      <c r="R926" s="1592"/>
      <c r="S926" s="1592"/>
      <c r="T926" s="1593"/>
      <c r="U926" s="1395" t="s">
        <v>600</v>
      </c>
      <c r="V926" s="1396"/>
      <c r="W926" s="1396"/>
      <c r="X926" s="1396"/>
      <c r="Y926" s="1396"/>
      <c r="Z926" s="1397"/>
      <c r="AA926" s="1398"/>
      <c r="AB926" s="1399"/>
      <c r="AC926" s="1399"/>
      <c r="AD926" s="1399"/>
      <c r="AE926" s="1399"/>
      <c r="AF926" s="140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591" t="s">
        <v>2556</v>
      </c>
      <c r="G927" s="1592"/>
      <c r="H927" s="1592"/>
      <c r="I927" s="1592"/>
      <c r="J927" s="1592"/>
      <c r="K927" s="1592"/>
      <c r="L927" s="1592"/>
      <c r="M927" s="1592"/>
      <c r="N927" s="1592"/>
      <c r="O927" s="1592"/>
      <c r="P927" s="1592"/>
      <c r="Q927" s="1592"/>
      <c r="R927" s="1592"/>
      <c r="S927" s="1592"/>
      <c r="T927" s="1593"/>
      <c r="U927" s="1395" t="s">
        <v>600</v>
      </c>
      <c r="V927" s="1396"/>
      <c r="W927" s="1396"/>
      <c r="X927" s="1396"/>
      <c r="Y927" s="1396"/>
      <c r="Z927" s="1397"/>
      <c r="AA927" s="1398"/>
      <c r="AB927" s="1399"/>
      <c r="AC927" s="1399"/>
      <c r="AD927" s="1399"/>
      <c r="AE927" s="1399"/>
      <c r="AF927" s="140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591" t="s">
        <v>2557</v>
      </c>
      <c r="G928" s="1592"/>
      <c r="H928" s="1592"/>
      <c r="I928" s="1592"/>
      <c r="J928" s="1592"/>
      <c r="K928" s="1592"/>
      <c r="L928" s="1592"/>
      <c r="M928" s="1592"/>
      <c r="N928" s="1592"/>
      <c r="O928" s="1592"/>
      <c r="P928" s="1592"/>
      <c r="Q928" s="1592"/>
      <c r="R928" s="1592"/>
      <c r="S928" s="1592"/>
      <c r="T928" s="1593"/>
      <c r="U928" s="1395" t="s">
        <v>600</v>
      </c>
      <c r="V928" s="1396"/>
      <c r="W928" s="1396"/>
      <c r="X928" s="1396"/>
      <c r="Y928" s="1396"/>
      <c r="Z928" s="1397"/>
      <c r="AA928" s="1398"/>
      <c r="AB928" s="1399"/>
      <c r="AC928" s="1399"/>
      <c r="AD928" s="1399"/>
      <c r="AE928" s="1399"/>
      <c r="AF928" s="140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591" t="s">
        <v>2558</v>
      </c>
      <c r="G929" s="1592"/>
      <c r="H929" s="1592"/>
      <c r="I929" s="1592"/>
      <c r="J929" s="1592"/>
      <c r="K929" s="1592"/>
      <c r="L929" s="1592"/>
      <c r="M929" s="1592"/>
      <c r="N929" s="1592"/>
      <c r="O929" s="1592"/>
      <c r="P929" s="1592"/>
      <c r="Q929" s="1592"/>
      <c r="R929" s="1592"/>
      <c r="S929" s="1592"/>
      <c r="T929" s="1593"/>
      <c r="U929" s="1395" t="s">
        <v>600</v>
      </c>
      <c r="V929" s="1396"/>
      <c r="W929" s="1396"/>
      <c r="X929" s="1396"/>
      <c r="Y929" s="1396"/>
      <c r="Z929" s="1397"/>
      <c r="AA929" s="1398"/>
      <c r="AB929" s="1399"/>
      <c r="AC929" s="1399"/>
      <c r="AD929" s="1399"/>
      <c r="AE929" s="1399"/>
      <c r="AF929" s="140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591" t="s">
        <v>2559</v>
      </c>
      <c r="G930" s="1592"/>
      <c r="H930" s="1592"/>
      <c r="I930" s="1592"/>
      <c r="J930" s="1592"/>
      <c r="K930" s="1592"/>
      <c r="L930" s="1592"/>
      <c r="M930" s="1592"/>
      <c r="N930" s="1592"/>
      <c r="O930" s="1592"/>
      <c r="P930" s="1592"/>
      <c r="Q930" s="1592"/>
      <c r="R930" s="1592"/>
      <c r="S930" s="1592"/>
      <c r="T930" s="1593"/>
      <c r="U930" s="1395" t="s">
        <v>554</v>
      </c>
      <c r="V930" s="1396"/>
      <c r="W930" s="1396"/>
      <c r="X930" s="1396"/>
      <c r="Y930" s="1396"/>
      <c r="Z930" s="1397"/>
      <c r="AA930" s="1398">
        <v>35000000</v>
      </c>
      <c r="AB930" s="1399"/>
      <c r="AC930" s="1399"/>
      <c r="AD930" s="1399"/>
      <c r="AE930" s="1399"/>
      <c r="AF930" s="140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591" t="s">
        <v>2560</v>
      </c>
      <c r="G931" s="1592"/>
      <c r="H931" s="1592"/>
      <c r="I931" s="1592"/>
      <c r="J931" s="1592"/>
      <c r="K931" s="1592"/>
      <c r="L931" s="1592"/>
      <c r="M931" s="1592"/>
      <c r="N931" s="1592"/>
      <c r="O931" s="1592"/>
      <c r="P931" s="1592"/>
      <c r="Q931" s="1592"/>
      <c r="R931" s="1592"/>
      <c r="S931" s="1592"/>
      <c r="T931" s="1593"/>
      <c r="U931" s="1395" t="s">
        <v>600</v>
      </c>
      <c r="V931" s="1396"/>
      <c r="W931" s="1396"/>
      <c r="X931" s="1396"/>
      <c r="Y931" s="1396"/>
      <c r="Z931" s="1397"/>
      <c r="AA931" s="1398"/>
      <c r="AB931" s="1399"/>
      <c r="AC931" s="1399"/>
      <c r="AD931" s="1399"/>
      <c r="AE931" s="1399"/>
      <c r="AF931" s="140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395" t="s">
        <v>600</v>
      </c>
      <c r="V932" s="1396"/>
      <c r="W932" s="1396"/>
      <c r="X932" s="1396"/>
      <c r="Y932" s="1396"/>
      <c r="Z932" s="1397"/>
      <c r="AA932" s="1398"/>
      <c r="AB932" s="1399"/>
      <c r="AC932" s="1399"/>
      <c r="AD932" s="1399"/>
      <c r="AE932" s="1399"/>
      <c r="AF932" s="140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1387</v>
      </c>
      <c r="G933" s="5"/>
      <c r="H933" s="5"/>
      <c r="I933" s="5"/>
      <c r="J933" s="5"/>
      <c r="K933" s="5"/>
      <c r="L933" s="5"/>
      <c r="M933" s="5"/>
      <c r="N933" s="5"/>
      <c r="O933" s="5"/>
      <c r="P933" s="5"/>
      <c r="Q933" s="5"/>
      <c r="R933" s="5"/>
      <c r="S933" s="5"/>
      <c r="T933" s="46"/>
      <c r="U933" s="1395" t="s">
        <v>600</v>
      </c>
      <c r="V933" s="1396"/>
      <c r="W933" s="1396"/>
      <c r="X933" s="1396"/>
      <c r="Y933" s="1396"/>
      <c r="Z933" s="1397"/>
      <c r="AA933" s="1398"/>
      <c r="AB933" s="1399"/>
      <c r="AC933" s="1399"/>
      <c r="AD933" s="1399"/>
      <c r="AE933" s="1399"/>
      <c r="AF933" s="140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395" t="s">
        <v>600</v>
      </c>
      <c r="V934" s="1396"/>
      <c r="W934" s="1396"/>
      <c r="X934" s="1396"/>
      <c r="Y934" s="1396"/>
      <c r="Z934" s="1397"/>
      <c r="AA934" s="1398"/>
      <c r="AB934" s="1399"/>
      <c r="AC934" s="1399"/>
      <c r="AD934" s="1399"/>
      <c r="AE934" s="1399"/>
      <c r="AF934" s="140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560" t="s">
        <v>2564</v>
      </c>
      <c r="G935" s="1561"/>
      <c r="H935" s="1561"/>
      <c r="I935" s="1561"/>
      <c r="J935" s="1561"/>
      <c r="K935" s="1561"/>
      <c r="L935" s="1561"/>
      <c r="M935" s="1561"/>
      <c r="N935" s="1561"/>
      <c r="O935" s="1561"/>
      <c r="P935" s="1561"/>
      <c r="Q935" s="1561"/>
      <c r="R935" s="1561"/>
      <c r="S935" s="1561"/>
      <c r="T935" s="1562"/>
      <c r="U935" s="1395" t="s">
        <v>600</v>
      </c>
      <c r="V935" s="1396"/>
      <c r="W935" s="1396"/>
      <c r="X935" s="1396"/>
      <c r="Y935" s="1396"/>
      <c r="Z935" s="1397"/>
      <c r="AA935" s="1398"/>
      <c r="AB935" s="1399"/>
      <c r="AC935" s="1399"/>
      <c r="AD935" s="1399"/>
      <c r="AE935" s="1399"/>
      <c r="AF935" s="140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560" t="s">
        <v>2565</v>
      </c>
      <c r="G936" s="1561"/>
      <c r="H936" s="1561"/>
      <c r="I936" s="1561"/>
      <c r="J936" s="1561"/>
      <c r="K936" s="1561"/>
      <c r="L936" s="1561"/>
      <c r="M936" s="1561"/>
      <c r="N936" s="1561"/>
      <c r="O936" s="1561"/>
      <c r="P936" s="1561"/>
      <c r="Q936" s="1561"/>
      <c r="R936" s="1561"/>
      <c r="S936" s="1561"/>
      <c r="T936" s="1562"/>
      <c r="U936" s="1395" t="s">
        <v>600</v>
      </c>
      <c r="V936" s="1396"/>
      <c r="W936" s="1396"/>
      <c r="X936" s="1396"/>
      <c r="Y936" s="1396"/>
      <c r="Z936" s="1397"/>
      <c r="AA936" s="1398"/>
      <c r="AB936" s="1399"/>
      <c r="AC936" s="1399"/>
      <c r="AD936" s="1399"/>
      <c r="AE936" s="1399"/>
      <c r="AF936" s="140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591" t="s">
        <v>2561</v>
      </c>
      <c r="G937" s="1592"/>
      <c r="H937" s="1592"/>
      <c r="I937" s="1592"/>
      <c r="J937" s="1592"/>
      <c r="K937" s="1592"/>
      <c r="L937" s="1592"/>
      <c r="M937" s="1592"/>
      <c r="N937" s="1592"/>
      <c r="O937" s="1592"/>
      <c r="P937" s="1592"/>
      <c r="Q937" s="1592"/>
      <c r="R937" s="1592"/>
      <c r="S937" s="1592"/>
      <c r="T937" s="1593"/>
      <c r="U937" s="1395" t="s">
        <v>600</v>
      </c>
      <c r="V937" s="1396"/>
      <c r="W937" s="1396"/>
      <c r="X937" s="1396"/>
      <c r="Y937" s="1396"/>
      <c r="Z937" s="1397"/>
      <c r="AA937" s="1398"/>
      <c r="AB937" s="1399"/>
      <c r="AC937" s="1399"/>
      <c r="AD937" s="1399"/>
      <c r="AE937" s="1399"/>
      <c r="AF937" s="140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591" t="s">
        <v>2562</v>
      </c>
      <c r="G938" s="1592"/>
      <c r="H938" s="1592"/>
      <c r="I938" s="1592"/>
      <c r="J938" s="1592"/>
      <c r="K938" s="1592"/>
      <c r="L938" s="1592"/>
      <c r="M938" s="1592"/>
      <c r="N938" s="1592"/>
      <c r="O938" s="1592"/>
      <c r="P938" s="1592"/>
      <c r="Q938" s="1592"/>
      <c r="R938" s="1592"/>
      <c r="S938" s="1592"/>
      <c r="T938" s="1593"/>
      <c r="U938" s="1395" t="s">
        <v>600</v>
      </c>
      <c r="V938" s="1396"/>
      <c r="W938" s="1396"/>
      <c r="X938" s="1396"/>
      <c r="Y938" s="1396"/>
      <c r="Z938" s="1397"/>
      <c r="AA938" s="1398"/>
      <c r="AB938" s="1399"/>
      <c r="AC938" s="1399"/>
      <c r="AD938" s="1399"/>
      <c r="AE938" s="1399"/>
      <c r="AF938" s="140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591" t="s">
        <v>2563</v>
      </c>
      <c r="G939" s="1592"/>
      <c r="H939" s="1592"/>
      <c r="I939" s="1592"/>
      <c r="J939" s="1592"/>
      <c r="K939" s="1592"/>
      <c r="L939" s="1592"/>
      <c r="M939" s="1592"/>
      <c r="N939" s="1592"/>
      <c r="O939" s="1592"/>
      <c r="P939" s="1592"/>
      <c r="Q939" s="1592"/>
      <c r="R939" s="1592"/>
      <c r="S939" s="1592"/>
      <c r="T939" s="1593"/>
      <c r="U939" s="1395" t="s">
        <v>600</v>
      </c>
      <c r="V939" s="1396"/>
      <c r="W939" s="1396"/>
      <c r="X939" s="1396"/>
      <c r="Y939" s="1396"/>
      <c r="Z939" s="1397"/>
      <c r="AA939" s="1398"/>
      <c r="AB939" s="1399"/>
      <c r="AC939" s="1399"/>
      <c r="AD939" s="1399"/>
      <c r="AE939" s="1399"/>
      <c r="AF939" s="140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1371</v>
      </c>
      <c r="G940" s="5"/>
      <c r="H940" s="5"/>
      <c r="I940" s="5"/>
      <c r="J940" s="5"/>
      <c r="K940" s="5"/>
      <c r="L940" s="5"/>
      <c r="M940" s="5"/>
      <c r="N940" s="5"/>
      <c r="O940" s="5"/>
      <c r="P940" s="5"/>
      <c r="Q940" s="5"/>
      <c r="R940" s="5"/>
      <c r="S940" s="5"/>
      <c r="T940" s="46"/>
      <c r="U940" s="1395" t="s">
        <v>600</v>
      </c>
      <c r="V940" s="1396"/>
      <c r="W940" s="1396"/>
      <c r="X940" s="1396"/>
      <c r="Y940" s="1396"/>
      <c r="Z940" s="1397"/>
      <c r="AA940" s="1398"/>
      <c r="AB940" s="1399"/>
      <c r="AC940" s="1399"/>
      <c r="AD940" s="1399"/>
      <c r="AE940" s="1399"/>
      <c r="AF940" s="140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560" t="s">
        <v>2566</v>
      </c>
      <c r="G941" s="1561"/>
      <c r="H941" s="1561"/>
      <c r="I941" s="1561"/>
      <c r="J941" s="1561"/>
      <c r="K941" s="1561"/>
      <c r="L941" s="1561"/>
      <c r="M941" s="1561"/>
      <c r="N941" s="1561"/>
      <c r="O941" s="1561"/>
      <c r="P941" s="1561"/>
      <c r="Q941" s="1561"/>
      <c r="R941" s="1561"/>
      <c r="S941" s="1561"/>
      <c r="T941" s="1562"/>
      <c r="U941" s="1395" t="s">
        <v>600</v>
      </c>
      <c r="V941" s="1396"/>
      <c r="W941" s="1396"/>
      <c r="X941" s="1396"/>
      <c r="Y941" s="1396"/>
      <c r="Z941" s="1397"/>
      <c r="AA941" s="1398"/>
      <c r="AB941" s="1399"/>
      <c r="AC941" s="1399"/>
      <c r="AD941" s="1399"/>
      <c r="AE941" s="1399"/>
      <c r="AF941" s="140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1372</v>
      </c>
      <c r="G942" s="5"/>
      <c r="H942" s="5"/>
      <c r="I942" s="5"/>
      <c r="J942" s="5"/>
      <c r="K942" s="5"/>
      <c r="L942" s="5"/>
      <c r="M942" s="5"/>
      <c r="N942" s="5"/>
      <c r="O942" s="5"/>
      <c r="P942" s="5"/>
      <c r="Q942" s="5"/>
      <c r="R942" s="5"/>
      <c r="S942" s="5"/>
      <c r="T942" s="46"/>
      <c r="U942" s="1395" t="s">
        <v>600</v>
      </c>
      <c r="V942" s="1396"/>
      <c r="W942" s="1396"/>
      <c r="X942" s="1396"/>
      <c r="Y942" s="1396"/>
      <c r="Z942" s="1397"/>
      <c r="AA942" s="1398"/>
      <c r="AB942" s="1399"/>
      <c r="AC942" s="1399"/>
      <c r="AD942" s="1399"/>
      <c r="AE942" s="1399"/>
      <c r="AF942" s="140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560" t="s">
        <v>2567</v>
      </c>
      <c r="G943" s="1561"/>
      <c r="H943" s="1561"/>
      <c r="I943" s="1561"/>
      <c r="J943" s="1561"/>
      <c r="K943" s="1561"/>
      <c r="L943" s="1561"/>
      <c r="M943" s="1561"/>
      <c r="N943" s="1561"/>
      <c r="O943" s="1561"/>
      <c r="P943" s="1561"/>
      <c r="Q943" s="1561"/>
      <c r="R943" s="1561"/>
      <c r="S943" s="1561"/>
      <c r="T943" s="1562"/>
      <c r="U943" s="1395" t="s">
        <v>600</v>
      </c>
      <c r="V943" s="1396"/>
      <c r="W943" s="1396"/>
      <c r="X943" s="1396"/>
      <c r="Y943" s="1396"/>
      <c r="Z943" s="1397"/>
      <c r="AA943" s="1398"/>
      <c r="AB943" s="1399"/>
      <c r="AC943" s="1399"/>
      <c r="AD943" s="1399"/>
      <c r="AE943" s="1399"/>
      <c r="AF943" s="140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395" t="s">
        <v>678</v>
      </c>
      <c r="Q944" s="1396"/>
      <c r="R944" s="1396"/>
      <c r="S944" s="1396"/>
      <c r="T944" s="1397"/>
      <c r="U944" s="1395" t="s">
        <v>600</v>
      </c>
      <c r="V944" s="1396"/>
      <c r="W944" s="1396"/>
      <c r="X944" s="1396"/>
      <c r="Y944" s="1396"/>
      <c r="Z944" s="1397"/>
      <c r="AA944" s="1398"/>
      <c r="AB944" s="1399"/>
      <c r="AC944" s="1399"/>
      <c r="AD944" s="1399"/>
      <c r="AE944" s="1399"/>
      <c r="AF944" s="140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591" t="s">
        <v>2554</v>
      </c>
      <c r="G945" s="1592"/>
      <c r="H945" s="1593"/>
      <c r="I945" s="1631" t="s">
        <v>335</v>
      </c>
      <c r="J945" s="1632"/>
      <c r="K945" s="1632"/>
      <c r="L945" s="1632"/>
      <c r="M945" s="1632"/>
      <c r="N945" s="1632"/>
      <c r="O945" s="1632"/>
      <c r="P945" s="1632"/>
      <c r="Q945" s="1632"/>
      <c r="R945" s="1632"/>
      <c r="S945" s="1632"/>
      <c r="T945" s="1633"/>
      <c r="U945" s="1395" t="s">
        <v>600</v>
      </c>
      <c r="V945" s="1396"/>
      <c r="W945" s="1396"/>
      <c r="X945" s="1396"/>
      <c r="Y945" s="1396"/>
      <c r="Z945" s="1397"/>
      <c r="AA945" s="1398"/>
      <c r="AB945" s="1399"/>
      <c r="AC945" s="1399"/>
      <c r="AD945" s="1399"/>
      <c r="AE945" s="1399"/>
      <c r="AF945" s="140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31" t="s">
        <v>335</v>
      </c>
      <c r="J946" s="1632"/>
      <c r="K946" s="1632"/>
      <c r="L946" s="1632"/>
      <c r="M946" s="1632"/>
      <c r="N946" s="1632"/>
      <c r="O946" s="1632"/>
      <c r="P946" s="1632"/>
      <c r="Q946" s="1632"/>
      <c r="R946" s="1632"/>
      <c r="S946" s="1632"/>
      <c r="T946" s="1633"/>
      <c r="U946" s="1395" t="s">
        <v>600</v>
      </c>
      <c r="V946" s="1396"/>
      <c r="W946" s="1396"/>
      <c r="X946" s="1396"/>
      <c r="Y946" s="1396"/>
      <c r="Z946" s="1397"/>
      <c r="AA946" s="1398"/>
      <c r="AB946" s="1399"/>
      <c r="AC946" s="1399"/>
      <c r="AD946" s="1399"/>
      <c r="AE946" s="1399"/>
      <c r="AF946" s="140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54" t="s">
        <v>335</v>
      </c>
      <c r="J947" s="1555"/>
      <c r="K947" s="1555"/>
      <c r="L947" s="1555"/>
      <c r="M947" s="1555"/>
      <c r="N947" s="1555"/>
      <c r="O947" s="1555"/>
      <c r="P947" s="1555"/>
      <c r="Q947" s="1555"/>
      <c r="R947" s="1555"/>
      <c r="S947" s="1555"/>
      <c r="T947" s="1556"/>
      <c r="U947" s="1395" t="s">
        <v>600</v>
      </c>
      <c r="V947" s="1396"/>
      <c r="W947" s="1396"/>
      <c r="X947" s="1396"/>
      <c r="Y947" s="1396"/>
      <c r="Z947" s="1397"/>
      <c r="AA947" s="1398"/>
      <c r="AB947" s="1399"/>
      <c r="AC947" s="1399"/>
      <c r="AD947" s="1399"/>
      <c r="AE947" s="1399"/>
      <c r="AF947" s="140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554" t="s">
        <v>335</v>
      </c>
      <c r="J948" s="1555"/>
      <c r="K948" s="1555"/>
      <c r="L948" s="1555"/>
      <c r="M948" s="1555"/>
      <c r="N948" s="1555"/>
      <c r="O948" s="1555"/>
      <c r="P948" s="1555"/>
      <c r="Q948" s="1555"/>
      <c r="R948" s="1555"/>
      <c r="S948" s="1555"/>
      <c r="T948" s="1556"/>
      <c r="U948" s="1395" t="s">
        <v>600</v>
      </c>
      <c r="V948" s="1396"/>
      <c r="W948" s="1396"/>
      <c r="X948" s="1396"/>
      <c r="Y948" s="1396"/>
      <c r="Z948" s="1397"/>
      <c r="AA948" s="1398"/>
      <c r="AB948" s="1399"/>
      <c r="AC948" s="1399"/>
      <c r="AD948" s="1399"/>
      <c r="AE948" s="1399"/>
      <c r="AF948" s="140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554" t="s">
        <v>335</v>
      </c>
      <c r="J949" s="1555"/>
      <c r="K949" s="1555"/>
      <c r="L949" s="1555"/>
      <c r="M949" s="1555"/>
      <c r="N949" s="1555"/>
      <c r="O949" s="1555"/>
      <c r="P949" s="1555"/>
      <c r="Q949" s="1555"/>
      <c r="R949" s="1555"/>
      <c r="S949" s="1555"/>
      <c r="T949" s="1556"/>
      <c r="U949" s="1395" t="s">
        <v>600</v>
      </c>
      <c r="V949" s="1396"/>
      <c r="W949" s="1396"/>
      <c r="X949" s="1396"/>
      <c r="Y949" s="1396"/>
      <c r="Z949" s="1397"/>
      <c r="AA949" s="1398"/>
      <c r="AB949" s="1399"/>
      <c r="AC949" s="1399"/>
      <c r="AD949" s="1399"/>
      <c r="AE949" s="1399"/>
      <c r="AF949" s="140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582"/>
      <c r="N954" s="1583"/>
      <c r="O954" s="1583"/>
      <c r="P954" s="1583"/>
      <c r="Q954" s="1583"/>
      <c r="R954" s="1583"/>
      <c r="S954" s="1584"/>
      <c r="U954" s="66" t="s">
        <v>11</v>
      </c>
      <c r="V954" s="5"/>
      <c r="W954" s="5"/>
      <c r="X954" s="5"/>
      <c r="Y954" s="5"/>
      <c r="Z954" s="5"/>
      <c r="AA954" s="5"/>
      <c r="AB954" s="5"/>
      <c r="AC954" s="5"/>
      <c r="AD954" s="46"/>
      <c r="AE954" s="1582"/>
      <c r="AF954" s="1583"/>
      <c r="AG954" s="1583"/>
      <c r="AH954" s="1583"/>
      <c r="AI954" s="1583"/>
      <c r="AJ954" s="1583"/>
      <c r="AK954" s="158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456"/>
      <c r="N955" s="1563"/>
      <c r="O955" s="1563"/>
      <c r="P955" s="1563"/>
      <c r="Q955" s="1563"/>
      <c r="R955" s="1563"/>
      <c r="S955" s="1564"/>
      <c r="U955" s="66" t="s">
        <v>12</v>
      </c>
      <c r="V955" s="5"/>
      <c r="W955" s="5"/>
      <c r="X955" s="5"/>
      <c r="Y955" s="5"/>
      <c r="Z955" s="5"/>
      <c r="AA955" s="5"/>
      <c r="AB955" s="5"/>
      <c r="AC955" s="5"/>
      <c r="AD955" s="46"/>
      <c r="AE955" s="1456"/>
      <c r="AF955" s="1563"/>
      <c r="AG955" s="1563"/>
      <c r="AH955" s="1563"/>
      <c r="AI955" s="1563"/>
      <c r="AJ955" s="1563"/>
      <c r="AK955" s="156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565" t="s">
        <v>308</v>
      </c>
      <c r="K956" s="1566"/>
      <c r="L956" s="1566"/>
      <c r="M956" s="1566"/>
      <c r="N956" s="1566"/>
      <c r="O956" s="1566"/>
      <c r="P956" s="1566"/>
      <c r="Q956" s="1566"/>
      <c r="R956" s="1566"/>
      <c r="S956" s="1567"/>
      <c r="U956" s="66" t="s">
        <v>893</v>
      </c>
      <c r="V956" s="5"/>
      <c r="W956" s="5"/>
      <c r="AB956" s="1565" t="s">
        <v>308</v>
      </c>
      <c r="AC956" s="1566"/>
      <c r="AD956" s="1566"/>
      <c r="AE956" s="1566"/>
      <c r="AF956" s="1566"/>
      <c r="AG956" s="1566"/>
      <c r="AH956" s="1566"/>
      <c r="AI956" s="1566"/>
      <c r="AJ956" s="1566"/>
      <c r="AK956" s="156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77"/>
      <c r="N957" s="1667"/>
      <c r="O957" s="1667"/>
      <c r="P957" s="1667"/>
      <c r="Q957" s="1667"/>
      <c r="R957" s="1667"/>
      <c r="S957" s="1668"/>
      <c r="U957" s="66" t="s">
        <v>13</v>
      </c>
      <c r="V957" s="5"/>
      <c r="W957" s="5"/>
      <c r="X957" s="5"/>
      <c r="Y957" s="5"/>
      <c r="Z957" s="5"/>
      <c r="AA957" s="5"/>
      <c r="AB957" s="5"/>
      <c r="AC957" s="5"/>
      <c r="AD957" s="46"/>
      <c r="AE957" s="1666"/>
      <c r="AF957" s="1667"/>
      <c r="AG957" s="1667"/>
      <c r="AH957" s="1667"/>
      <c r="AI957" s="1667"/>
      <c r="AJ957" s="1667"/>
      <c r="AK957" s="16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426"/>
      <c r="N958" s="1427"/>
      <c r="O958" s="1427"/>
      <c r="P958" s="1427"/>
      <c r="Q958" s="1427"/>
      <c r="R958" s="1427"/>
      <c r="S958" s="1428"/>
      <c r="U958" s="66" t="s">
        <v>14</v>
      </c>
      <c r="V958" s="5"/>
      <c r="W958" s="5"/>
      <c r="X958" s="5"/>
      <c r="Y958" s="5"/>
      <c r="Z958" s="5"/>
      <c r="AA958" s="5"/>
      <c r="AB958" s="5"/>
      <c r="AC958" s="5"/>
      <c r="AD958" s="46"/>
      <c r="AE958" s="1426"/>
      <c r="AF958" s="1427"/>
      <c r="AG958" s="1427"/>
      <c r="AH958" s="1427"/>
      <c r="AI958" s="1427"/>
      <c r="AJ958" s="1427"/>
      <c r="AK958" s="142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398"/>
      <c r="N959" s="1399"/>
      <c r="O959" s="1399"/>
      <c r="P959" s="1399"/>
      <c r="Q959" s="1399"/>
      <c r="R959" s="1399"/>
      <c r="S959" s="1400"/>
      <c r="U959" s="66" t="s">
        <v>15</v>
      </c>
      <c r="V959" s="5"/>
      <c r="W959" s="5"/>
      <c r="X959" s="5"/>
      <c r="Y959" s="5"/>
      <c r="Z959" s="5"/>
      <c r="AA959" s="5"/>
      <c r="AB959" s="5"/>
      <c r="AC959" s="5"/>
      <c r="AD959" s="46"/>
      <c r="AE959" s="1398"/>
      <c r="AF959" s="1399"/>
      <c r="AG959" s="1399"/>
      <c r="AH959" s="1399"/>
      <c r="AI959" s="1399"/>
      <c r="AJ959" s="1399"/>
      <c r="AK959" s="140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398"/>
      <c r="N960" s="1399"/>
      <c r="O960" s="1399"/>
      <c r="P960" s="1399"/>
      <c r="Q960" s="1399"/>
      <c r="R960" s="1399"/>
      <c r="S960" s="1400"/>
      <c r="U960" s="66" t="s">
        <v>16</v>
      </c>
      <c r="V960" s="5"/>
      <c r="W960" s="5"/>
      <c r="X960" s="5"/>
      <c r="Y960" s="5"/>
      <c r="Z960" s="5"/>
      <c r="AA960" s="5"/>
      <c r="AB960" s="5"/>
      <c r="AC960" s="5"/>
      <c r="AD960" s="46"/>
      <c r="AE960" s="1398"/>
      <c r="AF960" s="1399"/>
      <c r="AG960" s="1399"/>
      <c r="AH960" s="1399"/>
      <c r="AI960" s="1399"/>
      <c r="AJ960" s="1399"/>
      <c r="AK960" s="140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1775</v>
      </c>
      <c r="D961" s="5"/>
      <c r="E961" s="5"/>
      <c r="F961" s="5"/>
      <c r="G961" s="5"/>
      <c r="H961" s="5"/>
      <c r="I961" s="5"/>
      <c r="J961" s="5"/>
      <c r="K961" s="5"/>
      <c r="L961" s="46"/>
      <c r="M961" s="1390"/>
      <c r="N961" s="1391"/>
      <c r="O961" s="1391"/>
      <c r="P961" s="1391"/>
      <c r="Q961" s="1391"/>
      <c r="R961" s="1391"/>
      <c r="S961" s="1392"/>
      <c r="U961" s="121" t="s">
        <v>1775</v>
      </c>
      <c r="V961" s="5"/>
      <c r="W961" s="5"/>
      <c r="X961" s="5"/>
      <c r="Y961" s="5"/>
      <c r="Z961" s="5"/>
      <c r="AA961" s="5"/>
      <c r="AB961" s="5"/>
      <c r="AC961" s="5"/>
      <c r="AD961" s="46"/>
      <c r="AE961" s="1390"/>
      <c r="AF961" s="1391"/>
      <c r="AG961" s="1391"/>
      <c r="AH961" s="1391"/>
      <c r="AI961" s="1391"/>
      <c r="AJ961" s="1391"/>
      <c r="AK961" s="139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548"/>
      <c r="N966" s="1549"/>
      <c r="O966" s="1549"/>
      <c r="P966" s="1549"/>
      <c r="Q966" s="1549"/>
      <c r="R966" s="1549"/>
      <c r="S966" s="1550"/>
      <c r="T966" s="66" t="s">
        <v>800</v>
      </c>
      <c r="U966" s="5"/>
      <c r="V966" s="5"/>
      <c r="W966" s="5"/>
      <c r="X966" s="5"/>
      <c r="Y966" s="5"/>
      <c r="Z966" s="46"/>
      <c r="AA966" s="1548"/>
      <c r="AB966" s="1549"/>
      <c r="AC966" s="1549"/>
      <c r="AD966" s="1549"/>
      <c r="AE966" s="1549"/>
      <c r="AF966" s="1549"/>
      <c r="AG966" s="15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548"/>
      <c r="N967" s="1549"/>
      <c r="O967" s="1549"/>
      <c r="P967" s="1549"/>
      <c r="Q967" s="1549"/>
      <c r="R967" s="1549"/>
      <c r="S967" s="1550"/>
      <c r="T967" s="66" t="s">
        <v>799</v>
      </c>
      <c r="U967" s="5"/>
      <c r="V967" s="5"/>
      <c r="W967" s="5"/>
      <c r="X967" s="5"/>
      <c r="Y967" s="5"/>
      <c r="Z967" s="46"/>
      <c r="AA967" s="1548"/>
      <c r="AB967" s="1549"/>
      <c r="AC967" s="1549"/>
      <c r="AD967" s="1549"/>
      <c r="AE967" s="1549"/>
      <c r="AF967" s="1549"/>
      <c r="AG967" s="15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726" t="s">
        <v>600</v>
      </c>
      <c r="N968" s="1727"/>
      <c r="O968" s="1727"/>
      <c r="P968" s="1727"/>
      <c r="Q968" s="1727"/>
      <c r="R968" s="1727"/>
      <c r="S968" s="1728"/>
      <c r="T968" s="45" t="s">
        <v>338</v>
      </c>
      <c r="U968" s="5"/>
      <c r="V968" s="5"/>
      <c r="W968" s="5"/>
      <c r="X968" s="5"/>
      <c r="Y968" s="5"/>
      <c r="Z968" s="46"/>
      <c r="AA968" s="1548"/>
      <c r="AB968" s="1549"/>
      <c r="AC968" s="1549"/>
      <c r="AD968" s="1549"/>
      <c r="AE968" s="1549"/>
      <c r="AF968" s="1549"/>
      <c r="AG968" s="15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548"/>
      <c r="N969" s="1549"/>
      <c r="O969" s="1549"/>
      <c r="P969" s="1549"/>
      <c r="Q969" s="1549"/>
      <c r="R969" s="1549"/>
      <c r="S969" s="1550"/>
      <c r="T969" s="45" t="s">
        <v>339</v>
      </c>
      <c r="U969" s="5"/>
      <c r="V969" s="5"/>
      <c r="W969" s="5"/>
      <c r="X969" s="5"/>
      <c r="Y969" s="5"/>
      <c r="Z969" s="46"/>
      <c r="AA969" s="1548"/>
      <c r="AB969" s="1549"/>
      <c r="AC969" s="1549"/>
      <c r="AD969" s="1549"/>
      <c r="AE969" s="1549"/>
      <c r="AF969" s="1549"/>
      <c r="AG969" s="15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548"/>
      <c r="N970" s="1549"/>
      <c r="O970" s="1549"/>
      <c r="P970" s="1549"/>
      <c r="Q970" s="1549"/>
      <c r="R970" s="1549"/>
      <c r="S970" s="1550"/>
      <c r="T970" s="45" t="s">
        <v>377</v>
      </c>
      <c r="U970" s="5"/>
      <c r="V970" s="5"/>
      <c r="W970" s="5"/>
      <c r="X970" s="5"/>
      <c r="Y970" s="5"/>
      <c r="Z970" s="46"/>
      <c r="AA970" s="1548"/>
      <c r="AB970" s="1549"/>
      <c r="AC970" s="1549"/>
      <c r="AD970" s="1549"/>
      <c r="AE970" s="1549"/>
      <c r="AF970" s="1549"/>
      <c r="AG970" s="15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565" t="s">
        <v>308</v>
      </c>
      <c r="N971" s="1566"/>
      <c r="O971" s="1566"/>
      <c r="P971" s="1566"/>
      <c r="Q971" s="1566"/>
      <c r="R971" s="1566"/>
      <c r="S971" s="1567"/>
      <c r="T971" s="1604"/>
      <c r="U971" s="1605"/>
      <c r="V971" s="1605"/>
      <c r="W971" s="1605"/>
      <c r="X971" s="1605"/>
      <c r="Y971" s="1605"/>
      <c r="Z971" s="1606"/>
      <c r="AA971" s="1548"/>
      <c r="AB971" s="1549"/>
      <c r="AC971" s="1549"/>
      <c r="AD971" s="1549"/>
      <c r="AE971" s="1549"/>
      <c r="AF971" s="1549"/>
      <c r="AG971" s="15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548"/>
      <c r="N972" s="1549"/>
      <c r="O972" s="1549"/>
      <c r="P972" s="1549"/>
      <c r="Q972" s="1549"/>
      <c r="R972" s="1549"/>
      <c r="S972" s="1550"/>
      <c r="T972" s="1604"/>
      <c r="U972" s="1605"/>
      <c r="V972" s="1605"/>
      <c r="W972" s="1605"/>
      <c r="X972" s="1605"/>
      <c r="Y972" s="1605"/>
      <c r="Z972" s="1606"/>
      <c r="AA972" s="1548"/>
      <c r="AB972" s="1549"/>
      <c r="AC972" s="1549"/>
      <c r="AD972" s="1549"/>
      <c r="AE972" s="1549"/>
      <c r="AF972" s="1549"/>
      <c r="AG972" s="15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724" t="s">
        <v>678</v>
      </c>
      <c r="P973" s="1457"/>
      <c r="Q973" s="92"/>
      <c r="R973" s="92"/>
      <c r="S973" s="93"/>
      <c r="T973" s="41" t="s">
        <v>170</v>
      </c>
      <c r="U973" s="42"/>
      <c r="V973" s="42"/>
      <c r="W973" s="1672" t="s">
        <v>335</v>
      </c>
      <c r="X973" s="1673"/>
      <c r="Y973" s="1673"/>
      <c r="Z973" s="1673"/>
      <c r="AA973" s="1673"/>
      <c r="AB973" s="1673"/>
      <c r="AC973" s="1673"/>
      <c r="AD973" s="1673"/>
      <c r="AE973" s="1673"/>
      <c r="AF973" s="1673"/>
      <c r="AG973" s="167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25" t="s">
        <v>33</v>
      </c>
      <c r="G974" s="1420"/>
      <c r="H974" s="1420"/>
      <c r="I974" s="1420"/>
      <c r="J974" s="1420"/>
      <c r="K974" s="1420"/>
      <c r="L974" s="1420"/>
      <c r="M974" s="1548"/>
      <c r="N974" s="1549"/>
      <c r="O974" s="1549"/>
      <c r="P974" s="1549"/>
      <c r="Q974" s="1549"/>
      <c r="R974" s="1549"/>
      <c r="S974" s="1550"/>
      <c r="T974" s="47"/>
      <c r="U974" s="48"/>
      <c r="V974" s="48"/>
      <c r="W974" s="48"/>
      <c r="X974" s="48"/>
      <c r="Y974" s="48"/>
      <c r="Z974" s="124" t="s">
        <v>134</v>
      </c>
      <c r="AA974" s="1628"/>
      <c r="AB974" s="1629"/>
      <c r="AC974" s="1629"/>
      <c r="AD974" s="1629"/>
      <c r="AE974" s="1629"/>
      <c r="AF974" s="1629"/>
      <c r="AG974" s="163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70"/>
      <c r="BH975" s="1670"/>
      <c r="BI975" s="1670"/>
      <c r="BJ975" s="1670"/>
      <c r="BK975" s="1670"/>
      <c r="BL975" s="167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43" t="s">
        <v>557</v>
      </c>
      <c r="B978" s="1443"/>
      <c r="C978" s="1443"/>
      <c r="D978" s="1443"/>
      <c r="E978" s="1443"/>
      <c r="F978" s="1443"/>
      <c r="G978" s="1443"/>
      <c r="H978" s="1443"/>
      <c r="I978" s="1443"/>
      <c r="J978" s="1443"/>
      <c r="K978" s="1443"/>
      <c r="L978" s="1443"/>
      <c r="M978" s="1443"/>
      <c r="N978" s="1443"/>
      <c r="O978" s="1443"/>
      <c r="P978" s="1443"/>
      <c r="Q978" s="1443"/>
      <c r="R978" s="1443"/>
      <c r="S978" s="1443"/>
      <c r="T978" s="1443"/>
      <c r="U978" s="1443"/>
      <c r="V978" s="1443"/>
      <c r="W978" s="1443"/>
      <c r="X978" s="1443"/>
      <c r="Y978" s="1443"/>
      <c r="Z978" s="1443"/>
      <c r="AA978" s="1443"/>
      <c r="AB978" s="1443"/>
      <c r="AC978" s="1443"/>
      <c r="AD978" s="1443"/>
      <c r="AE978" s="1443"/>
      <c r="AF978" s="1443"/>
      <c r="AG978" s="1443"/>
      <c r="AH978" s="1443"/>
      <c r="AI978" s="1443"/>
      <c r="AJ978" s="1443"/>
      <c r="AK978" s="1443"/>
      <c r="AL978" s="1443"/>
      <c r="AM978" s="1443"/>
      <c r="AN978" s="1443"/>
      <c r="AO978" s="1443"/>
      <c r="AP978" s="1443"/>
      <c r="AQ978" s="1443"/>
      <c r="AR978" s="1443"/>
      <c r="AS978" s="1443"/>
      <c r="AT978" s="144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43"/>
      <c r="B979" s="1443"/>
      <c r="C979" s="1443"/>
      <c r="D979" s="1443"/>
      <c r="E979" s="1443"/>
      <c r="F979" s="1443"/>
      <c r="G979" s="1443"/>
      <c r="H979" s="1443"/>
      <c r="I979" s="1443"/>
      <c r="J979" s="1443"/>
      <c r="K979" s="1443"/>
      <c r="L979" s="1443"/>
      <c r="M979" s="1443"/>
      <c r="N979" s="1443"/>
      <c r="O979" s="1443"/>
      <c r="P979" s="1443"/>
      <c r="Q979" s="1443"/>
      <c r="R979" s="1443"/>
      <c r="S979" s="1443"/>
      <c r="T979" s="1443"/>
      <c r="U979" s="1443"/>
      <c r="V979" s="1443"/>
      <c r="W979" s="1443"/>
      <c r="X979" s="1443"/>
      <c r="Y979" s="1443"/>
      <c r="Z979" s="1443"/>
      <c r="AA979" s="1443"/>
      <c r="AB979" s="1443"/>
      <c r="AC979" s="1443"/>
      <c r="AD979" s="1443"/>
      <c r="AE979" s="1443"/>
      <c r="AF979" s="1443"/>
      <c r="AG979" s="1443"/>
      <c r="AH979" s="1443"/>
      <c r="AI979" s="1443"/>
      <c r="AJ979" s="1443"/>
      <c r="AK979" s="1443"/>
      <c r="AL979" s="1443"/>
      <c r="AM979" s="1443"/>
      <c r="AN979" s="1443"/>
      <c r="AO979" s="1443"/>
      <c r="AP979" s="1443"/>
      <c r="AQ979" s="1443"/>
      <c r="AR979" s="1443"/>
      <c r="AS979" s="1443"/>
      <c r="AT979" s="144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43"/>
      <c r="B980" s="1443"/>
      <c r="C980" s="1443"/>
      <c r="D980" s="1443"/>
      <c r="E980" s="1443"/>
      <c r="F980" s="1443"/>
      <c r="G980" s="1443"/>
      <c r="H980" s="1443"/>
      <c r="I980" s="1443"/>
      <c r="J980" s="1443"/>
      <c r="K980" s="1443"/>
      <c r="L980" s="1443"/>
      <c r="M980" s="1443"/>
      <c r="N980" s="1443"/>
      <c r="O980" s="1443"/>
      <c r="P980" s="1443"/>
      <c r="Q980" s="1443"/>
      <c r="R980" s="1443"/>
      <c r="S980" s="1443"/>
      <c r="T980" s="1443"/>
      <c r="U980" s="1443"/>
      <c r="V980" s="1443"/>
      <c r="W980" s="1443"/>
      <c r="X980" s="1443"/>
      <c r="Y980" s="1443"/>
      <c r="Z980" s="1443"/>
      <c r="AA980" s="1443"/>
      <c r="AB980" s="1443"/>
      <c r="AC980" s="1443"/>
      <c r="AD980" s="1443"/>
      <c r="AE980" s="1443"/>
      <c r="AF980" s="1443"/>
      <c r="AG980" s="1443"/>
      <c r="AH980" s="1443"/>
      <c r="AI980" s="1443"/>
      <c r="AJ980" s="1443"/>
      <c r="AK980" s="1443"/>
      <c r="AL980" s="1443"/>
      <c r="AM980" s="1443"/>
      <c r="AN980" s="1443"/>
      <c r="AO980" s="1443"/>
      <c r="AP980" s="1443"/>
      <c r="AQ980" s="1443"/>
      <c r="AR980" s="1443"/>
      <c r="AS980" s="1443"/>
      <c r="AT980" s="144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57" t="s">
        <v>647</v>
      </c>
      <c r="E984" s="1558"/>
      <c r="F984" s="1558"/>
      <c r="G984" s="1558"/>
      <c r="H984" s="1558"/>
      <c r="I984" s="1558"/>
      <c r="J984" s="1558"/>
      <c r="K984" s="1558"/>
      <c r="L984" s="1558"/>
      <c r="M984" s="1558"/>
      <c r="N984" s="1558"/>
      <c r="O984" s="1558"/>
      <c r="P984" s="1558"/>
      <c r="Q984" s="1559"/>
      <c r="R984" s="1557" t="s">
        <v>648</v>
      </c>
      <c r="S984" s="1558"/>
      <c r="T984" s="1558"/>
      <c r="U984" s="1558"/>
      <c r="V984" s="1558"/>
      <c r="W984" s="1558"/>
      <c r="X984" s="1558"/>
      <c r="Y984" s="1558"/>
      <c r="Z984" s="1558"/>
      <c r="AA984" s="1559"/>
      <c r="AB984" s="1557" t="s">
        <v>649</v>
      </c>
      <c r="AC984" s="1558"/>
      <c r="AD984" s="1558"/>
      <c r="AE984" s="1558"/>
      <c r="AF984" s="1558"/>
      <c r="AG984" s="1558"/>
      <c r="AH984" s="1558"/>
      <c r="AI984" s="1559"/>
      <c r="AJ984" s="1557" t="s">
        <v>650</v>
      </c>
      <c r="AK984" s="1558"/>
      <c r="AL984" s="1558"/>
      <c r="AM984" s="1558"/>
      <c r="AN984" s="1558"/>
      <c r="AO984" s="1558"/>
      <c r="AP984" s="1558"/>
      <c r="AQ984" s="155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384" t="s">
        <v>642</v>
      </c>
      <c r="E985" s="1385"/>
      <c r="F985" s="1385"/>
      <c r="G985" s="1385"/>
      <c r="H985" s="1385"/>
      <c r="I985" s="1385"/>
      <c r="J985" s="1385"/>
      <c r="K985" s="1385"/>
      <c r="L985" s="1385"/>
      <c r="M985" s="1385"/>
      <c r="N985" s="1385"/>
      <c r="O985" s="1385"/>
      <c r="P985" s="1385"/>
      <c r="Q985" s="1386"/>
      <c r="R985" s="1597">
        <f>IF(ISNA(IF($BN$796="4%",(INDEX($BP$806:$BT$863,MATCH($CB$796,$BO$806:$BO$863,0),MATCH(D985,$BP$805:$BT$805,0))),(INDEX($BW$806:$CA$863,MATCH($CB$796,$BV$806:$BV$863,0),MATCH(D985,$BW$805:$CA$805,0))))),0,IF($BN$796="4%",(INDEX($BP$806:$BT$863,MATCH($CB$796,$BO$806:$BO$863,0),MATCH(D985,$BP$805:$BT$805,0))),(INDEX($BW$806:$CA$863,MATCH($CB$796,$BV$806:$BV$863,0),MATCH(D985,$BW$805:$CA$805,0)))))</f>
        <v>353173</v>
      </c>
      <c r="S985" s="1597"/>
      <c r="T985" s="1597"/>
      <c r="U985" s="1597"/>
      <c r="V985" s="1597"/>
      <c r="W985" s="1597"/>
      <c r="X985" s="1597"/>
      <c r="Y985" s="1597"/>
      <c r="Z985" s="1597"/>
      <c r="AA985" s="1597"/>
      <c r="AB985" s="1387">
        <f>BN660</f>
        <v>179</v>
      </c>
      <c r="AC985" s="1388"/>
      <c r="AD985" s="1388"/>
      <c r="AE985" s="1388"/>
      <c r="AF985" s="1388"/>
      <c r="AG985" s="1388"/>
      <c r="AH985" s="1388"/>
      <c r="AI985" s="1389"/>
      <c r="AJ985" s="1522">
        <f>IF(ISERROR((R985*AB985)),0,(R985*AB985))</f>
        <v>63217967</v>
      </c>
      <c r="AK985" s="1523"/>
      <c r="AL985" s="1523"/>
      <c r="AM985" s="1523"/>
      <c r="AN985" s="1523"/>
      <c r="AO985" s="1523"/>
      <c r="AP985" s="1523"/>
      <c r="AQ985" s="152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384" t="s">
        <v>326</v>
      </c>
      <c r="E986" s="1385"/>
      <c r="F986" s="1385"/>
      <c r="G986" s="1385"/>
      <c r="H986" s="1385"/>
      <c r="I986" s="1385"/>
      <c r="J986" s="1385"/>
      <c r="K986" s="1385"/>
      <c r="L986" s="1385"/>
      <c r="M986" s="1385"/>
      <c r="N986" s="1385"/>
      <c r="O986" s="1385"/>
      <c r="P986" s="1385"/>
      <c r="Q986" s="1386"/>
      <c r="R986" s="1597">
        <f>IF(ISNA(IF($BN$796="4%",(INDEX($BP$806:$BT$863,MATCH($CB$796,$BO$806:$BO$863,0),MATCH(D986,$BP$805:$BT$805,0))),(INDEX($BW$806:$CA$863,MATCH($CB$796,$BV$806:$BV$863,0),MATCH(D986,$BW$805:$CA$805,0))))),0,IF($BN$796="4%",(INDEX($BP$806:$BT$863,MATCH($CB$796,$BO$806:$BO$863,0),MATCH(D986,$BP$805:$BT$805,0))),(INDEX($BW$806:$CA$863,MATCH($CB$796,$BV$806:$BV$863,0),MATCH(D986,$BW$805:$CA$805,0)))))</f>
        <v>407205</v>
      </c>
      <c r="S986" s="1597"/>
      <c r="T986" s="1597"/>
      <c r="U986" s="1597"/>
      <c r="V986" s="1597"/>
      <c r="W986" s="1597"/>
      <c r="X986" s="1597"/>
      <c r="Y986" s="1597"/>
      <c r="Z986" s="1597"/>
      <c r="AA986" s="1597"/>
      <c r="AB986" s="1387">
        <f>BS660</f>
        <v>0</v>
      </c>
      <c r="AC986" s="1388"/>
      <c r="AD986" s="1388"/>
      <c r="AE986" s="1388"/>
      <c r="AF986" s="1388"/>
      <c r="AG986" s="1388"/>
      <c r="AH986" s="1388"/>
      <c r="AI986" s="1389"/>
      <c r="AJ986" s="1522">
        <f>IF(ISERROR((R986*AB986)),0,(R986*AB986))</f>
        <v>0</v>
      </c>
      <c r="AK986" s="1523"/>
      <c r="AL986" s="1523"/>
      <c r="AM986" s="1523"/>
      <c r="AN986" s="1523"/>
      <c r="AO986" s="1523"/>
      <c r="AP986" s="1523"/>
      <c r="AQ986" s="152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384" t="s">
        <v>163</v>
      </c>
      <c r="E987" s="1385"/>
      <c r="F987" s="1385"/>
      <c r="G987" s="1385"/>
      <c r="H987" s="1385"/>
      <c r="I987" s="1385"/>
      <c r="J987" s="1385"/>
      <c r="K987" s="1385"/>
      <c r="L987" s="1385"/>
      <c r="M987" s="1385"/>
      <c r="N987" s="1385"/>
      <c r="O987" s="1385"/>
      <c r="P987" s="1385"/>
      <c r="Q987" s="1386"/>
      <c r="R987" s="1597">
        <f>IF(ISNA(IF($BN$796="4%",(INDEX($BP$806:$BT$863,MATCH($CB$796,$BO$806:$BO$863,0),MATCH(D987,$BP$805:$BT$805,0))),(INDEX($BW$806:$CA$863,MATCH($CB$796,$BV$806:$BV$863,0),MATCH(D987,$BW$805:$CA$805,0))))),0,IF($BN$796="4%",(INDEX($BP$806:$BT$863,MATCH($CB$796,$BO$806:$BO$863,0),MATCH(D987,$BP$805:$BT$805,0))),(INDEX($BW$806:$CA$863,MATCH($CB$796,$BV$806:$BV$863,0),MATCH(D987,$BW$805:$CA$805,0)))))</f>
        <v>491200</v>
      </c>
      <c r="S987" s="1597"/>
      <c r="T987" s="1597"/>
      <c r="U987" s="1597"/>
      <c r="V987" s="1597"/>
      <c r="W987" s="1597"/>
      <c r="X987" s="1597"/>
      <c r="Y987" s="1597"/>
      <c r="Z987" s="1597"/>
      <c r="AA987" s="1597"/>
      <c r="AB987" s="1387">
        <f>BX660</f>
        <v>0</v>
      </c>
      <c r="AC987" s="1388"/>
      <c r="AD987" s="1388"/>
      <c r="AE987" s="1388"/>
      <c r="AF987" s="1388"/>
      <c r="AG987" s="1388"/>
      <c r="AH987" s="1388"/>
      <c r="AI987" s="1389"/>
      <c r="AJ987" s="1522">
        <f>IF(ISERROR((R987*AB987)),0,(R987*AB987))</f>
        <v>0</v>
      </c>
      <c r="AK987" s="1523"/>
      <c r="AL987" s="1523"/>
      <c r="AM987" s="1523"/>
      <c r="AN987" s="1523"/>
      <c r="AO987" s="1523"/>
      <c r="AP987" s="1523"/>
      <c r="AQ987" s="152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384" t="s">
        <v>164</v>
      </c>
      <c r="E988" s="1385"/>
      <c r="F988" s="1385"/>
      <c r="G988" s="1385"/>
      <c r="H988" s="1385"/>
      <c r="I988" s="1385"/>
      <c r="J988" s="1385"/>
      <c r="K988" s="1385"/>
      <c r="L988" s="1385"/>
      <c r="M988" s="1385"/>
      <c r="N988" s="1385"/>
      <c r="O988" s="1385"/>
      <c r="P988" s="1385"/>
      <c r="Q988" s="1386"/>
      <c r="R988" s="1597">
        <f>IF(ISNA(IF($BN$796="4%",(INDEX($BP$806:$BT$863,MATCH($CB$796,$BO$806:$BO$863,0),MATCH(D988,$BP$805:$BT$805,0))),(INDEX($BW$806:$CA$863,MATCH($CB$796,$BV$806:$BV$863,0),MATCH(D988,$BW$805:$CA$805,0))))),0,IF($BN$796="4%",(INDEX($BP$806:$BT$863,MATCH($CB$796,$BO$806:$BO$863,0),MATCH(D988,$BP$805:$BT$805,0))),(INDEX($BW$806:$CA$863,MATCH($CB$796,$BV$806:$BV$863,0),MATCH(D988,$BW$805:$CA$805,0)))))</f>
        <v>628736</v>
      </c>
      <c r="S988" s="1597"/>
      <c r="T988" s="1597"/>
      <c r="U988" s="1597"/>
      <c r="V988" s="1597"/>
      <c r="W988" s="1597"/>
      <c r="X988" s="1597"/>
      <c r="Y988" s="1597"/>
      <c r="Z988" s="1597"/>
      <c r="AA988" s="1597"/>
      <c r="AB988" s="1387">
        <f>CC660</f>
        <v>0</v>
      </c>
      <c r="AC988" s="1388"/>
      <c r="AD988" s="1388"/>
      <c r="AE988" s="1388"/>
      <c r="AF988" s="1388"/>
      <c r="AG988" s="1388"/>
      <c r="AH988" s="1388"/>
      <c r="AI988" s="1389"/>
      <c r="AJ988" s="1522">
        <f>IF(ISERROR((R988*AB988)),0,(R988*AB988))</f>
        <v>0</v>
      </c>
      <c r="AK988" s="1523"/>
      <c r="AL988" s="1523"/>
      <c r="AM988" s="1523"/>
      <c r="AN988" s="1523"/>
      <c r="AO988" s="1523"/>
      <c r="AP988" s="1523"/>
      <c r="AQ988" s="152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384" t="s">
        <v>469</v>
      </c>
      <c r="E989" s="1385"/>
      <c r="F989" s="1385"/>
      <c r="G989" s="1385"/>
      <c r="H989" s="1385"/>
      <c r="I989" s="1385"/>
      <c r="J989" s="1385"/>
      <c r="K989" s="1385"/>
      <c r="L989" s="1385"/>
      <c r="M989" s="1385"/>
      <c r="N989" s="1385"/>
      <c r="O989" s="1385"/>
      <c r="P989" s="1385"/>
      <c r="Q989" s="1386"/>
      <c r="R989" s="1597">
        <f>IF(ISNA(IF($BN$796="4%",(INDEX($BP$806:$BT$863,MATCH($CB$796,$BO$806:$BO$863,0),MATCH(D989,$BP$805:$BT$805,0))),(INDEX($BW$806:$CA$863,MATCH($CB$796,$BV$806:$BV$863,0),MATCH(D989,$BW$805:$CA$805,0))))),0,IF($BN$796="4%",(INDEX($BP$806:$BT$863,MATCH($CB$796,$BO$806:$BO$863,0),MATCH(D989,$BP$805:$BT$805,0))),(INDEX($BW$806:$CA$863,MATCH($CB$796,$BV$806:$BV$863,0),MATCH(D989,$BW$805:$CA$805,0)))))</f>
        <v>700451</v>
      </c>
      <c r="S989" s="1597"/>
      <c r="T989" s="1597"/>
      <c r="U989" s="1597"/>
      <c r="V989" s="1597"/>
      <c r="W989" s="1597"/>
      <c r="X989" s="1597"/>
      <c r="Y989" s="1597"/>
      <c r="Z989" s="1597"/>
      <c r="AA989" s="1597"/>
      <c r="AB989" s="1387">
        <f>CM660+CH660</f>
        <v>0</v>
      </c>
      <c r="AC989" s="1388"/>
      <c r="AD989" s="1388"/>
      <c r="AE989" s="1388"/>
      <c r="AF989" s="1388"/>
      <c r="AG989" s="1388"/>
      <c r="AH989" s="1388"/>
      <c r="AI989" s="1389"/>
      <c r="AJ989" s="1522">
        <f>IF(ISERROR((R989*AB989)),0,(R989*AB989))</f>
        <v>0</v>
      </c>
      <c r="AK989" s="1523"/>
      <c r="AL989" s="1523"/>
      <c r="AM989" s="1523"/>
      <c r="AN989" s="1523"/>
      <c r="AO989" s="1523"/>
      <c r="AP989" s="1523"/>
      <c r="AQ989" s="152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12" t="s">
        <v>801</v>
      </c>
      <c r="C990" s="1613"/>
      <c r="D990" s="1613"/>
      <c r="E990" s="1613"/>
      <c r="F990" s="1613"/>
      <c r="G990" s="1613"/>
      <c r="H990" s="1613"/>
      <c r="I990" s="1613"/>
      <c r="J990" s="1613"/>
      <c r="K990" s="1613"/>
      <c r="L990" s="1613"/>
      <c r="M990" s="1613"/>
      <c r="N990" s="1613"/>
      <c r="O990" s="1613"/>
      <c r="P990" s="1613"/>
      <c r="Q990" s="1613"/>
      <c r="R990" s="1613"/>
      <c r="S990" s="1613"/>
      <c r="T990" s="1613"/>
      <c r="U990" s="1613"/>
      <c r="V990" s="1613"/>
      <c r="W990" s="1613"/>
      <c r="X990" s="1613"/>
      <c r="Y990" s="1613"/>
      <c r="Z990" s="1613"/>
      <c r="AA990" s="1614"/>
      <c r="AB990" s="1387">
        <f>SUM(AB985:AI989)</f>
        <v>179</v>
      </c>
      <c r="AC990" s="1388"/>
      <c r="AD990" s="1388"/>
      <c r="AE990" s="1388"/>
      <c r="AF990" s="1388"/>
      <c r="AG990" s="1388"/>
      <c r="AH990" s="1388"/>
      <c r="AI990" s="1389"/>
      <c r="AJ990" s="1522"/>
      <c r="AK990" s="1523"/>
      <c r="AL990" s="1523"/>
      <c r="AM990" s="1523"/>
      <c r="AN990" s="1523"/>
      <c r="AO990" s="1523"/>
      <c r="AP990" s="1523"/>
      <c r="AQ990" s="152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94" t="s">
        <v>521</v>
      </c>
      <c r="C991" s="1595"/>
      <c r="D991" s="1595"/>
      <c r="E991" s="1595"/>
      <c r="F991" s="1595"/>
      <c r="G991" s="1595"/>
      <c r="H991" s="1595"/>
      <c r="I991" s="1595"/>
      <c r="J991" s="1595"/>
      <c r="K991" s="1595"/>
      <c r="L991" s="1595"/>
      <c r="M991" s="1595"/>
      <c r="N991" s="1595"/>
      <c r="O991" s="1595"/>
      <c r="P991" s="1595"/>
      <c r="Q991" s="1595"/>
      <c r="R991" s="1595"/>
      <c r="S991" s="1595"/>
      <c r="T991" s="1595"/>
      <c r="U991" s="1595"/>
      <c r="V991" s="1595"/>
      <c r="W991" s="1595"/>
      <c r="X991" s="1595"/>
      <c r="Y991" s="1595"/>
      <c r="Z991" s="1595"/>
      <c r="AA991" s="1595"/>
      <c r="AB991" s="1595"/>
      <c r="AC991" s="1595"/>
      <c r="AD991" s="1595"/>
      <c r="AE991" s="1595"/>
      <c r="AF991" s="1595"/>
      <c r="AG991" s="1595"/>
      <c r="AH991" s="1595"/>
      <c r="AI991" s="1596"/>
      <c r="AJ991" s="1522">
        <f>SUM(AJ985:AQ989)</f>
        <v>63217967</v>
      </c>
      <c r="AK991" s="1523"/>
      <c r="AL991" s="1523"/>
      <c r="AM991" s="1523"/>
      <c r="AN991" s="1523"/>
      <c r="AO991" s="1523"/>
      <c r="AP991" s="1523"/>
      <c r="AQ991" s="152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25"/>
      <c r="C992" s="1526"/>
      <c r="D992" s="1526"/>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531" t="s">
        <v>675</v>
      </c>
      <c r="AG992" s="1532"/>
      <c r="AH992" s="1532"/>
      <c r="AI992" s="1533"/>
      <c r="AJ992" s="1525"/>
      <c r="AK992" s="1526"/>
      <c r="AL992" s="1526"/>
      <c r="AM992" s="1526"/>
      <c r="AN992" s="1526"/>
      <c r="AO992" s="1526"/>
      <c r="AP992" s="1526"/>
      <c r="AQ992" s="152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538" t="s">
        <v>1327</v>
      </c>
      <c r="E993" s="1539"/>
      <c r="F993" s="1539"/>
      <c r="G993" s="1539"/>
      <c r="H993" s="1539"/>
      <c r="I993" s="1539"/>
      <c r="J993" s="1539"/>
      <c r="K993" s="1539"/>
      <c r="L993" s="1539"/>
      <c r="M993" s="1539"/>
      <c r="N993" s="1539"/>
      <c r="O993" s="1539"/>
      <c r="P993" s="1539"/>
      <c r="Q993" s="1539"/>
      <c r="R993" s="1539"/>
      <c r="S993" s="1539"/>
      <c r="T993" s="1539"/>
      <c r="U993" s="1539"/>
      <c r="V993" s="1539"/>
      <c r="W993" s="1539"/>
      <c r="X993" s="1539"/>
      <c r="Y993" s="1539"/>
      <c r="Z993" s="1539"/>
      <c r="AA993" s="1539"/>
      <c r="AB993" s="1539"/>
      <c r="AC993" s="1539"/>
      <c r="AD993" s="1539"/>
      <c r="AE993" s="1540"/>
      <c r="AF993" s="79"/>
      <c r="AG993" s="1534" t="s">
        <v>678</v>
      </c>
      <c r="AH993" s="1535"/>
      <c r="AI993" s="87"/>
      <c r="AJ993" s="1401">
        <f>ROUND(IF(AND(AG993="yes",D999&gt;0),AJ991*0.2,0),0)</f>
        <v>0</v>
      </c>
      <c r="AK993" s="1402"/>
      <c r="AL993" s="1402"/>
      <c r="AM993" s="1402"/>
      <c r="AN993" s="1402"/>
      <c r="AO993" s="1402"/>
      <c r="AP993" s="1402"/>
      <c r="AQ993" s="140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98" t="s">
        <v>2568</v>
      </c>
      <c r="E994" s="1599"/>
      <c r="F994" s="1599"/>
      <c r="G994" s="1599"/>
      <c r="H994" s="1599"/>
      <c r="I994" s="1599"/>
      <c r="J994" s="1599"/>
      <c r="K994" s="1599"/>
      <c r="L994" s="1599"/>
      <c r="M994" s="1599"/>
      <c r="N994" s="1599"/>
      <c r="O994" s="1599"/>
      <c r="P994" s="1599"/>
      <c r="Q994" s="1599"/>
      <c r="R994" s="1599"/>
      <c r="S994" s="1599"/>
      <c r="T994" s="1599"/>
      <c r="U994" s="1599"/>
      <c r="V994" s="1599"/>
      <c r="W994" s="1599"/>
      <c r="X994" s="1599"/>
      <c r="Y994" s="1599"/>
      <c r="Z994" s="1599"/>
      <c r="AA994" s="1599"/>
      <c r="AB994" s="1599"/>
      <c r="AC994" s="1599"/>
      <c r="AD994" s="1599"/>
      <c r="AE994" s="1600"/>
      <c r="AF994" s="73"/>
      <c r="AG994" s="14"/>
      <c r="AH994" s="14"/>
      <c r="AI994" s="83"/>
      <c r="AJ994" s="1404"/>
      <c r="AK994" s="1405"/>
      <c r="AL994" s="1405"/>
      <c r="AM994" s="1405"/>
      <c r="AN994" s="1405"/>
      <c r="AO994" s="1405"/>
      <c r="AP994" s="1405"/>
      <c r="AQ994" s="140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98"/>
      <c r="E995" s="1599"/>
      <c r="F995" s="1599"/>
      <c r="G995" s="1599"/>
      <c r="H995" s="1599"/>
      <c r="I995" s="1599"/>
      <c r="J995" s="1599"/>
      <c r="K995" s="1599"/>
      <c r="L995" s="1599"/>
      <c r="M995" s="1599"/>
      <c r="N995" s="1599"/>
      <c r="O995" s="1599"/>
      <c r="P995" s="1599"/>
      <c r="Q995" s="1599"/>
      <c r="R995" s="1599"/>
      <c r="S995" s="1599"/>
      <c r="T995" s="1599"/>
      <c r="U995" s="1599"/>
      <c r="V995" s="1599"/>
      <c r="W995" s="1599"/>
      <c r="X995" s="1599"/>
      <c r="Y995" s="1599"/>
      <c r="Z995" s="1599"/>
      <c r="AA995" s="1599"/>
      <c r="AB995" s="1599"/>
      <c r="AC995" s="1599"/>
      <c r="AD995" s="1599"/>
      <c r="AE995" s="1600"/>
      <c r="AF995" s="73"/>
      <c r="AG995" s="14"/>
      <c r="AH995" s="14"/>
      <c r="AI995" s="83"/>
      <c r="AJ995" s="1404"/>
      <c r="AK995" s="1405"/>
      <c r="AL995" s="1405"/>
      <c r="AM995" s="1405"/>
      <c r="AN995" s="1405"/>
      <c r="AO995" s="1405"/>
      <c r="AP995" s="1405"/>
      <c r="AQ995" s="140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98"/>
      <c r="E996" s="1599"/>
      <c r="F996" s="1599"/>
      <c r="G996" s="1599"/>
      <c r="H996" s="1599"/>
      <c r="I996" s="1599"/>
      <c r="J996" s="1599"/>
      <c r="K996" s="1599"/>
      <c r="L996" s="1599"/>
      <c r="M996" s="1599"/>
      <c r="N996" s="1599"/>
      <c r="O996" s="1599"/>
      <c r="P996" s="1599"/>
      <c r="Q996" s="1599"/>
      <c r="R996" s="1599"/>
      <c r="S996" s="1599"/>
      <c r="T996" s="1599"/>
      <c r="U996" s="1599"/>
      <c r="V996" s="1599"/>
      <c r="W996" s="1599"/>
      <c r="X996" s="1599"/>
      <c r="Y996" s="1599"/>
      <c r="Z996" s="1599"/>
      <c r="AA996" s="1599"/>
      <c r="AB996" s="1599"/>
      <c r="AC996" s="1599"/>
      <c r="AD996" s="1599"/>
      <c r="AE996" s="1600"/>
      <c r="AF996" s="73"/>
      <c r="AG996" s="14"/>
      <c r="AH996" s="14"/>
      <c r="AI996" s="83"/>
      <c r="AJ996" s="1404"/>
      <c r="AK996" s="1405"/>
      <c r="AL996" s="1405"/>
      <c r="AM996" s="1405"/>
      <c r="AN996" s="1405"/>
      <c r="AO996" s="1405"/>
      <c r="AP996" s="1405"/>
      <c r="AQ996" s="140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98"/>
      <c r="E997" s="1599"/>
      <c r="F997" s="1599"/>
      <c r="G997" s="1599"/>
      <c r="H997" s="1599"/>
      <c r="I997" s="1599"/>
      <c r="J997" s="1599"/>
      <c r="K997" s="1599"/>
      <c r="L997" s="1599"/>
      <c r="M997" s="1599"/>
      <c r="N997" s="1599"/>
      <c r="O997" s="1599"/>
      <c r="P997" s="1599"/>
      <c r="Q997" s="1599"/>
      <c r="R997" s="1599"/>
      <c r="S997" s="1599"/>
      <c r="T997" s="1599"/>
      <c r="U997" s="1599"/>
      <c r="V997" s="1599"/>
      <c r="W997" s="1599"/>
      <c r="X997" s="1599"/>
      <c r="Y997" s="1599"/>
      <c r="Z997" s="1599"/>
      <c r="AA997" s="1599"/>
      <c r="AB997" s="1599"/>
      <c r="AC997" s="1599"/>
      <c r="AD997" s="1599"/>
      <c r="AE997" s="1600"/>
      <c r="AF997" s="73"/>
      <c r="AG997" s="14"/>
      <c r="AH997" s="14"/>
      <c r="AI997" s="83"/>
      <c r="AJ997" s="1404"/>
      <c r="AK997" s="1405"/>
      <c r="AL997" s="1405"/>
      <c r="AM997" s="1405"/>
      <c r="AN997" s="1405"/>
      <c r="AO997" s="1405"/>
      <c r="AP997" s="1405"/>
      <c r="AQ997" s="140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01" t="s">
        <v>2569</v>
      </c>
      <c r="E998" s="1602"/>
      <c r="F998" s="1602"/>
      <c r="G998" s="1602"/>
      <c r="H998" s="1602"/>
      <c r="I998" s="1602"/>
      <c r="J998" s="1602"/>
      <c r="K998" s="1602"/>
      <c r="L998" s="1602"/>
      <c r="M998" s="1602"/>
      <c r="N998" s="1602"/>
      <c r="O998" s="1602"/>
      <c r="P998" s="1602"/>
      <c r="Q998" s="1602"/>
      <c r="R998" s="1602"/>
      <c r="S998" s="1602"/>
      <c r="T998" s="1602"/>
      <c r="U998" s="1602"/>
      <c r="V998" s="1602"/>
      <c r="W998" s="1602"/>
      <c r="X998" s="1602"/>
      <c r="Y998" s="1602"/>
      <c r="Z998" s="1602"/>
      <c r="AA998" s="1602"/>
      <c r="AB998" s="1602"/>
      <c r="AC998" s="1602"/>
      <c r="AD998" s="1602"/>
      <c r="AE998" s="1603"/>
      <c r="AF998" s="73"/>
      <c r="AG998" s="14"/>
      <c r="AH998" s="14"/>
      <c r="AI998" s="83"/>
      <c r="AJ998" s="1404"/>
      <c r="AK998" s="1405"/>
      <c r="AL998" s="1405"/>
      <c r="AM998" s="1405"/>
      <c r="AN998" s="1405"/>
      <c r="AO998" s="1405"/>
      <c r="AP998" s="1405"/>
      <c r="AQ998" s="140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15"/>
      <c r="E999" s="1616"/>
      <c r="F999" s="1616"/>
      <c r="G999" s="1616"/>
      <c r="H999" s="1616"/>
      <c r="I999" s="1616"/>
      <c r="J999" s="1616"/>
      <c r="K999" s="1616"/>
      <c r="L999" s="1616"/>
      <c r="M999" s="1616"/>
      <c r="N999" s="1616"/>
      <c r="O999" s="1616"/>
      <c r="P999" s="1616"/>
      <c r="Q999" s="1616"/>
      <c r="R999" s="1616"/>
      <c r="S999" s="1616"/>
      <c r="T999" s="1616"/>
      <c r="U999" s="1616"/>
      <c r="V999" s="1616"/>
      <c r="W999" s="1616"/>
      <c r="X999" s="1616"/>
      <c r="Y999" s="1616"/>
      <c r="Z999" s="1616"/>
      <c r="AA999" s="1616"/>
      <c r="AB999" s="1616"/>
      <c r="AC999" s="1616"/>
      <c r="AD999" s="1616"/>
      <c r="AE999" s="1617"/>
      <c r="AF999" s="77"/>
      <c r="AG999" s="7"/>
      <c r="AH999" s="7"/>
      <c r="AI999" s="78"/>
      <c r="AJ999" s="1407"/>
      <c r="AK999" s="1408"/>
      <c r="AL999" s="1408"/>
      <c r="AM999" s="1408"/>
      <c r="AN999" s="1408"/>
      <c r="AO999" s="1408"/>
      <c r="AP999" s="1408"/>
      <c r="AQ999" s="140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28" t="s">
        <v>1396</v>
      </c>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30"/>
      <c r="AF1000" s="79"/>
      <c r="AG1000" s="1536" t="s">
        <v>678</v>
      </c>
      <c r="AH1000" s="1537"/>
      <c r="AI1000" s="87"/>
      <c r="AJ1000" s="1401">
        <f>ROUND(IF(AG1000="yes",AJ991*0.05,0),0)</f>
        <v>0</v>
      </c>
      <c r="AK1000" s="1402"/>
      <c r="AL1000" s="1402"/>
      <c r="AM1000" s="1402"/>
      <c r="AN1000" s="1402"/>
      <c r="AO1000" s="1402"/>
      <c r="AP1000" s="1402"/>
      <c r="AQ1000" s="140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98" t="s">
        <v>1394</v>
      </c>
      <c r="E1001" s="1599"/>
      <c r="F1001" s="1599"/>
      <c r="G1001" s="1599"/>
      <c r="H1001" s="1599"/>
      <c r="I1001" s="1599"/>
      <c r="J1001" s="1599"/>
      <c r="K1001" s="1599"/>
      <c r="L1001" s="1599"/>
      <c r="M1001" s="1599"/>
      <c r="N1001" s="1599"/>
      <c r="O1001" s="1599"/>
      <c r="P1001" s="1599"/>
      <c r="Q1001" s="1599"/>
      <c r="R1001" s="1599"/>
      <c r="S1001" s="1599"/>
      <c r="T1001" s="1599"/>
      <c r="U1001" s="1599"/>
      <c r="V1001" s="1599"/>
      <c r="W1001" s="1599"/>
      <c r="X1001" s="1599"/>
      <c r="Y1001" s="1599"/>
      <c r="Z1001" s="1599"/>
      <c r="AA1001" s="1599"/>
      <c r="AB1001" s="1599"/>
      <c r="AC1001" s="1599"/>
      <c r="AD1001" s="1599"/>
      <c r="AE1001" s="1600"/>
      <c r="AF1001" s="73"/>
      <c r="AG1001" s="14"/>
      <c r="AH1001" s="14"/>
      <c r="AI1001" s="83"/>
      <c r="AJ1001" s="1404"/>
      <c r="AK1001" s="1405"/>
      <c r="AL1001" s="1405"/>
      <c r="AM1001" s="1405"/>
      <c r="AN1001" s="1405"/>
      <c r="AO1001" s="1405"/>
      <c r="AP1001" s="1405"/>
      <c r="AQ1001" s="140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98"/>
      <c r="E1002" s="1599"/>
      <c r="F1002" s="1599"/>
      <c r="G1002" s="1599"/>
      <c r="H1002" s="1599"/>
      <c r="I1002" s="1599"/>
      <c r="J1002" s="1599"/>
      <c r="K1002" s="1599"/>
      <c r="L1002" s="1599"/>
      <c r="M1002" s="1599"/>
      <c r="N1002" s="1599"/>
      <c r="O1002" s="1599"/>
      <c r="P1002" s="1599"/>
      <c r="Q1002" s="1599"/>
      <c r="R1002" s="1599"/>
      <c r="S1002" s="1599"/>
      <c r="T1002" s="1599"/>
      <c r="U1002" s="1599"/>
      <c r="V1002" s="1599"/>
      <c r="W1002" s="1599"/>
      <c r="X1002" s="1599"/>
      <c r="Y1002" s="1599"/>
      <c r="Z1002" s="1599"/>
      <c r="AA1002" s="1599"/>
      <c r="AB1002" s="1599"/>
      <c r="AC1002" s="1599"/>
      <c r="AD1002" s="1599"/>
      <c r="AE1002" s="1600"/>
      <c r="AF1002" s="73"/>
      <c r="AG1002" s="14"/>
      <c r="AH1002" s="14"/>
      <c r="AI1002" s="83"/>
      <c r="AJ1002" s="1404"/>
      <c r="AK1002" s="1405"/>
      <c r="AL1002" s="1405"/>
      <c r="AM1002" s="1405"/>
      <c r="AN1002" s="1405"/>
      <c r="AO1002" s="1405"/>
      <c r="AP1002" s="1405"/>
      <c r="AQ1002" s="1406"/>
      <c r="AR1002" s="68"/>
      <c r="AS1002" s="68"/>
      <c r="AT1002" s="68"/>
      <c r="AU1002" s="68"/>
      <c r="AV1002" s="68"/>
      <c r="AW1002" s="68"/>
      <c r="AX1002" s="68"/>
      <c r="AY1002" s="949">
        <f>G753+O797</f>
        <v>177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98"/>
      <c r="E1003" s="1599"/>
      <c r="F1003" s="1599"/>
      <c r="G1003" s="1599"/>
      <c r="H1003" s="1599"/>
      <c r="I1003" s="1599"/>
      <c r="J1003" s="1599"/>
      <c r="K1003" s="1599"/>
      <c r="L1003" s="1599"/>
      <c r="M1003" s="1599"/>
      <c r="N1003" s="1599"/>
      <c r="O1003" s="1599"/>
      <c r="P1003" s="1599"/>
      <c r="Q1003" s="1599"/>
      <c r="R1003" s="1599"/>
      <c r="S1003" s="1599"/>
      <c r="T1003" s="1599"/>
      <c r="U1003" s="1599"/>
      <c r="V1003" s="1599"/>
      <c r="W1003" s="1599"/>
      <c r="X1003" s="1599"/>
      <c r="Y1003" s="1599"/>
      <c r="Z1003" s="1599"/>
      <c r="AA1003" s="1599"/>
      <c r="AB1003" s="1599"/>
      <c r="AC1003" s="1599"/>
      <c r="AD1003" s="1599"/>
      <c r="AE1003" s="1600"/>
      <c r="AF1003" s="73"/>
      <c r="AG1003" s="14"/>
      <c r="AH1003" s="14"/>
      <c r="AI1003" s="83"/>
      <c r="AJ1003" s="1404"/>
      <c r="AK1003" s="1405"/>
      <c r="AL1003" s="1405"/>
      <c r="AM1003" s="1405"/>
      <c r="AN1003" s="1405"/>
      <c r="AO1003" s="1405"/>
      <c r="AP1003" s="1405"/>
      <c r="AQ1003" s="140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98"/>
      <c r="E1004" s="1599"/>
      <c r="F1004" s="1599"/>
      <c r="G1004" s="1599"/>
      <c r="H1004" s="1599"/>
      <c r="I1004" s="1599"/>
      <c r="J1004" s="1599"/>
      <c r="K1004" s="1599"/>
      <c r="L1004" s="1599"/>
      <c r="M1004" s="1599"/>
      <c r="N1004" s="1599"/>
      <c r="O1004" s="1599"/>
      <c r="P1004" s="1599"/>
      <c r="Q1004" s="1599"/>
      <c r="R1004" s="1599"/>
      <c r="S1004" s="1599"/>
      <c r="T1004" s="1599"/>
      <c r="U1004" s="1599"/>
      <c r="V1004" s="1599"/>
      <c r="W1004" s="1599"/>
      <c r="X1004" s="1599"/>
      <c r="Y1004" s="1599"/>
      <c r="Z1004" s="1599"/>
      <c r="AA1004" s="1599"/>
      <c r="AB1004" s="1599"/>
      <c r="AC1004" s="1599"/>
      <c r="AD1004" s="1599"/>
      <c r="AE1004" s="1600"/>
      <c r="AF1004" s="73"/>
      <c r="AG1004" s="14"/>
      <c r="AH1004" s="14"/>
      <c r="AI1004" s="83"/>
      <c r="AJ1004" s="1404"/>
      <c r="AK1004" s="1405"/>
      <c r="AL1004" s="1405"/>
      <c r="AM1004" s="1405"/>
      <c r="AN1004" s="1405"/>
      <c r="AO1004" s="1405"/>
      <c r="AP1004" s="1405"/>
      <c r="AQ1004" s="1406"/>
      <c r="AR1004" s="68"/>
      <c r="AS1004" s="68"/>
      <c r="AT1004" s="68"/>
      <c r="AU1004" s="68"/>
      <c r="AV1004" s="68"/>
      <c r="AW1004" s="68"/>
      <c r="AX1004" s="68"/>
      <c r="AY1004" s="948">
        <f>ROUNDDOWN(X1047/I1047,2)</f>
        <v>0.24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01"/>
      <c r="E1005" s="1602"/>
      <c r="F1005" s="1602"/>
      <c r="G1005" s="1602"/>
      <c r="H1005" s="1602"/>
      <c r="I1005" s="1602"/>
      <c r="J1005" s="1602"/>
      <c r="K1005" s="1602"/>
      <c r="L1005" s="1602"/>
      <c r="M1005" s="1602"/>
      <c r="N1005" s="1602"/>
      <c r="O1005" s="1602"/>
      <c r="P1005" s="1602"/>
      <c r="Q1005" s="1602"/>
      <c r="R1005" s="1602"/>
      <c r="S1005" s="1602"/>
      <c r="T1005" s="1602"/>
      <c r="U1005" s="1602"/>
      <c r="V1005" s="1602"/>
      <c r="W1005" s="1602"/>
      <c r="X1005" s="1602"/>
      <c r="Y1005" s="1602"/>
      <c r="Z1005" s="1602"/>
      <c r="AA1005" s="1602"/>
      <c r="AB1005" s="1602"/>
      <c r="AC1005" s="1602"/>
      <c r="AD1005" s="1602"/>
      <c r="AE1005" s="1603"/>
      <c r="AF1005" s="77"/>
      <c r="AG1005" s="7"/>
      <c r="AH1005" s="7"/>
      <c r="AI1005" s="78"/>
      <c r="AJ1005" s="1407"/>
      <c r="AK1005" s="1408"/>
      <c r="AL1005" s="1408"/>
      <c r="AM1005" s="1408"/>
      <c r="AN1005" s="1408"/>
      <c r="AO1005" s="1408"/>
      <c r="AP1005" s="1408"/>
      <c r="AQ1005" s="1409"/>
      <c r="AR1005" s="68"/>
      <c r="AS1005" s="68"/>
      <c r="AT1005" s="68"/>
      <c r="AU1005" s="68"/>
      <c r="AV1005" s="68"/>
      <c r="AW1005" s="68"/>
      <c r="AX1005" s="68"/>
      <c r="AY1005" s="948">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528" t="s">
        <v>1873</v>
      </c>
      <c r="E1006" s="1529"/>
      <c r="F1006" s="1529"/>
      <c r="G1006" s="1529"/>
      <c r="H1006" s="1529"/>
      <c r="I1006" s="1529"/>
      <c r="J1006" s="1529"/>
      <c r="K1006" s="1529"/>
      <c r="L1006" s="1529"/>
      <c r="M1006" s="1529"/>
      <c r="N1006" s="1529"/>
      <c r="O1006" s="1529"/>
      <c r="P1006" s="1529"/>
      <c r="Q1006" s="1529"/>
      <c r="R1006" s="1529"/>
      <c r="S1006" s="1529"/>
      <c r="T1006" s="1529"/>
      <c r="U1006" s="1529"/>
      <c r="V1006" s="1529"/>
      <c r="W1006" s="1529"/>
      <c r="X1006" s="1529"/>
      <c r="Y1006" s="1529"/>
      <c r="Z1006" s="1529"/>
      <c r="AA1006" s="1529"/>
      <c r="AB1006" s="1529"/>
      <c r="AC1006" s="1529"/>
      <c r="AD1006" s="1529"/>
      <c r="AE1006" s="1530"/>
      <c r="AF1006" s="86"/>
      <c r="AG1006" s="1536" t="s">
        <v>678</v>
      </c>
      <c r="AH1006" s="1537"/>
      <c r="AI1006" s="87"/>
      <c r="AJ1006" s="1401">
        <f>ROUND(IF(AG1006="yes",AJ991*0.1,0),0)</f>
        <v>0</v>
      </c>
      <c r="AK1006" s="1402"/>
      <c r="AL1006" s="1402"/>
      <c r="AM1006" s="1402"/>
      <c r="AN1006" s="1402"/>
      <c r="AO1006" s="1402"/>
      <c r="AP1006" s="1402"/>
      <c r="AQ1006" s="1403"/>
      <c r="AR1006" s="68"/>
      <c r="AS1006" s="68"/>
      <c r="AT1006" s="68"/>
      <c r="AU1006" s="68"/>
      <c r="AV1006" s="68"/>
      <c r="AW1006" s="68"/>
      <c r="AX1006" s="68"/>
      <c r="BB1006" s="34"/>
      <c r="BD1006" s="34"/>
      <c r="BE1006" s="34"/>
      <c r="BF1006" s="34"/>
    </row>
    <row r="1007" spans="1:157" ht="13" customHeight="1">
      <c r="A1007" s="14"/>
      <c r="B1007" s="73"/>
      <c r="C1007" s="74"/>
      <c r="D1007" s="1516" t="s">
        <v>1395</v>
      </c>
      <c r="E1007" s="1517"/>
      <c r="F1007" s="1517"/>
      <c r="G1007" s="1517"/>
      <c r="H1007" s="1517"/>
      <c r="I1007" s="1517"/>
      <c r="J1007" s="1517"/>
      <c r="K1007" s="1517"/>
      <c r="L1007" s="1517"/>
      <c r="M1007" s="1517"/>
      <c r="N1007" s="1517"/>
      <c r="O1007" s="1517"/>
      <c r="P1007" s="1517"/>
      <c r="Q1007" s="1517"/>
      <c r="R1007" s="1517"/>
      <c r="S1007" s="1517"/>
      <c r="T1007" s="1517"/>
      <c r="U1007" s="1517"/>
      <c r="V1007" s="1517"/>
      <c r="W1007" s="1517"/>
      <c r="X1007" s="1517"/>
      <c r="Y1007" s="1517"/>
      <c r="Z1007" s="1517"/>
      <c r="AA1007" s="1517"/>
      <c r="AB1007" s="1517"/>
      <c r="AC1007" s="1517"/>
      <c r="AD1007" s="1517"/>
      <c r="AE1007" s="1518"/>
      <c r="AF1007" s="73"/>
      <c r="AI1007" s="83"/>
      <c r="AJ1007" s="1404"/>
      <c r="AK1007" s="1405"/>
      <c r="AL1007" s="1405"/>
      <c r="AM1007" s="1405"/>
      <c r="AN1007" s="1405"/>
      <c r="AO1007" s="1405"/>
      <c r="AP1007" s="1405"/>
      <c r="AQ1007" s="1406"/>
      <c r="AR1007" s="68"/>
      <c r="AS1007" s="68"/>
      <c r="AT1007" s="68"/>
      <c r="AU1007" s="68"/>
      <c r="AV1007" s="68"/>
      <c r="AW1007" s="68"/>
      <c r="AX1007" s="68"/>
    </row>
    <row r="1008" spans="1:157" ht="13" customHeight="1">
      <c r="A1008" s="14"/>
      <c r="B1008" s="73"/>
      <c r="C1008" s="74"/>
      <c r="D1008" s="1516"/>
      <c r="E1008" s="1517"/>
      <c r="F1008" s="1517"/>
      <c r="G1008" s="1517"/>
      <c r="H1008" s="1517"/>
      <c r="I1008" s="1517"/>
      <c r="J1008" s="1517"/>
      <c r="K1008" s="1517"/>
      <c r="L1008" s="1517"/>
      <c r="M1008" s="1517"/>
      <c r="N1008" s="1517"/>
      <c r="O1008" s="1517"/>
      <c r="P1008" s="1517"/>
      <c r="Q1008" s="1517"/>
      <c r="R1008" s="1517"/>
      <c r="S1008" s="1517"/>
      <c r="T1008" s="1517"/>
      <c r="U1008" s="1517"/>
      <c r="V1008" s="1517"/>
      <c r="W1008" s="1517"/>
      <c r="X1008" s="1517"/>
      <c r="Y1008" s="1517"/>
      <c r="Z1008" s="1517"/>
      <c r="AA1008" s="1517"/>
      <c r="AB1008" s="1517"/>
      <c r="AC1008" s="1517"/>
      <c r="AD1008" s="1517"/>
      <c r="AE1008" s="1518"/>
      <c r="AF1008" s="73"/>
      <c r="AG1008" s="14"/>
      <c r="AH1008" s="14"/>
      <c r="AI1008" s="83"/>
      <c r="AJ1008" s="1404"/>
      <c r="AK1008" s="1405"/>
      <c r="AL1008" s="1405"/>
      <c r="AM1008" s="1405"/>
      <c r="AN1008" s="1405"/>
      <c r="AO1008" s="1405"/>
      <c r="AP1008" s="1405"/>
      <c r="AQ1008" s="1406"/>
      <c r="AR1008" s="68"/>
      <c r="AS1008" s="68"/>
      <c r="AT1008" s="68"/>
      <c r="AU1008" s="68"/>
      <c r="AV1008" s="68"/>
      <c r="AW1008" s="68"/>
      <c r="AX1008" s="68"/>
    </row>
    <row r="1009" spans="1:51" ht="13" customHeight="1">
      <c r="A1009" s="14"/>
      <c r="B1009" s="85"/>
      <c r="C1009" s="76"/>
      <c r="D1009" s="1541"/>
      <c r="E1009" s="1542"/>
      <c r="F1009" s="1542"/>
      <c r="G1009" s="1542"/>
      <c r="H1009" s="1542"/>
      <c r="I1009" s="1542"/>
      <c r="J1009" s="1542"/>
      <c r="K1009" s="1542"/>
      <c r="L1009" s="1542"/>
      <c r="M1009" s="1542"/>
      <c r="N1009" s="1542"/>
      <c r="O1009" s="1542"/>
      <c r="P1009" s="1542"/>
      <c r="Q1009" s="1542"/>
      <c r="R1009" s="1542"/>
      <c r="S1009" s="1542"/>
      <c r="T1009" s="1542"/>
      <c r="U1009" s="1542"/>
      <c r="V1009" s="1542"/>
      <c r="W1009" s="1542"/>
      <c r="X1009" s="1542"/>
      <c r="Y1009" s="1542"/>
      <c r="Z1009" s="1542"/>
      <c r="AA1009" s="1542"/>
      <c r="AB1009" s="1542"/>
      <c r="AC1009" s="1542"/>
      <c r="AD1009" s="1542"/>
      <c r="AE1009" s="1543"/>
      <c r="AF1009" s="77"/>
      <c r="AG1009" s="7"/>
      <c r="AH1009" s="7"/>
      <c r="AI1009" s="78"/>
      <c r="AJ1009" s="1407"/>
      <c r="AK1009" s="1408"/>
      <c r="AL1009" s="1408"/>
      <c r="AM1009" s="1408"/>
      <c r="AN1009" s="1408"/>
      <c r="AO1009" s="1408"/>
      <c r="AP1009" s="1408"/>
      <c r="AQ1009" s="1409"/>
      <c r="AR1009" s="68"/>
      <c r="AS1009" s="68"/>
      <c r="AT1009" s="68"/>
      <c r="AU1009" s="68"/>
      <c r="AV1009" s="68"/>
      <c r="AW1009" s="68"/>
      <c r="AX1009" s="68"/>
    </row>
    <row r="1010" spans="1:51" ht="13" customHeight="1">
      <c r="A1010" s="14"/>
      <c r="B1010" s="79"/>
      <c r="C1010" s="80" t="s">
        <v>213</v>
      </c>
      <c r="D1010" s="1528" t="s">
        <v>1397</v>
      </c>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79"/>
      <c r="AG1010" s="1536" t="s">
        <v>678</v>
      </c>
      <c r="AH1010" s="1537"/>
      <c r="AI1010" s="87"/>
      <c r="AJ1010" s="1401">
        <f>ROUND(IF(AG1010="yes",AJ991*0.02,0),0)</f>
        <v>0</v>
      </c>
      <c r="AK1010" s="1402"/>
      <c r="AL1010" s="1402"/>
      <c r="AM1010" s="1402"/>
      <c r="AN1010" s="1402"/>
      <c r="AO1010" s="1402"/>
      <c r="AP1010" s="1402"/>
      <c r="AQ1010" s="1403"/>
      <c r="AR1010" s="68"/>
      <c r="AS1010" s="68"/>
      <c r="AT1010" s="68"/>
      <c r="AU1010" s="68"/>
      <c r="AV1010" s="68"/>
      <c r="AW1010" s="68"/>
      <c r="AX1010" s="68"/>
      <c r="AY1010" s="215">
        <f>IF(SUM(AY1012:AY1020)&lt;=0.1,SUM(AY1012:AY1020),0.1)</f>
        <v>0</v>
      </c>
    </row>
    <row r="1011" spans="1:51" ht="14.25" customHeight="1">
      <c r="A1011" s="14"/>
      <c r="B1011" s="73"/>
      <c r="C1011" s="74"/>
      <c r="D1011" s="1541" t="s">
        <v>1398</v>
      </c>
      <c r="E1011" s="1542"/>
      <c r="F1011" s="1542"/>
      <c r="G1011" s="1542"/>
      <c r="H1011" s="1542"/>
      <c r="I1011" s="1542"/>
      <c r="J1011" s="1542"/>
      <c r="K1011" s="1542"/>
      <c r="L1011" s="1542"/>
      <c r="M1011" s="1542"/>
      <c r="N1011" s="1542"/>
      <c r="O1011" s="1542"/>
      <c r="P1011" s="1542"/>
      <c r="Q1011" s="1542"/>
      <c r="R1011" s="1542"/>
      <c r="S1011" s="1542"/>
      <c r="T1011" s="1542"/>
      <c r="U1011" s="1542"/>
      <c r="V1011" s="1542"/>
      <c r="W1011" s="1542"/>
      <c r="X1011" s="1542"/>
      <c r="Y1011" s="1542"/>
      <c r="Z1011" s="1542"/>
      <c r="AA1011" s="1542"/>
      <c r="AB1011" s="1542"/>
      <c r="AC1011" s="1542"/>
      <c r="AD1011" s="1542"/>
      <c r="AE1011" s="1543"/>
      <c r="AF1011" s="77"/>
      <c r="AG1011" s="7"/>
      <c r="AH1011" s="7"/>
      <c r="AI1011" s="78"/>
      <c r="AJ1011" s="1407"/>
      <c r="AK1011" s="1408"/>
      <c r="AL1011" s="1408"/>
      <c r="AM1011" s="1408"/>
      <c r="AN1011" s="1408"/>
      <c r="AO1011" s="1408"/>
      <c r="AP1011" s="1408"/>
      <c r="AQ1011" s="1409"/>
      <c r="AR1011" s="68"/>
      <c r="AS1011" s="68"/>
      <c r="AT1011" s="68"/>
      <c r="AU1011" s="68"/>
      <c r="AV1011" s="68"/>
      <c r="AW1011" s="68"/>
      <c r="AX1011" s="68"/>
    </row>
    <row r="1012" spans="1:51" ht="13" customHeight="1">
      <c r="A1012" s="14"/>
      <c r="B1012" s="79"/>
      <c r="C1012" s="80" t="s">
        <v>216</v>
      </c>
      <c r="D1012" s="1528" t="s">
        <v>1399</v>
      </c>
      <c r="E1012" s="1529"/>
      <c r="F1012" s="1529"/>
      <c r="G1012" s="1529"/>
      <c r="H1012" s="1529"/>
      <c r="I1012" s="1529"/>
      <c r="J1012" s="1529"/>
      <c r="K1012" s="1529"/>
      <c r="L1012" s="1529"/>
      <c r="M1012" s="1529"/>
      <c r="N1012" s="1529"/>
      <c r="O1012" s="1529"/>
      <c r="P1012" s="1529"/>
      <c r="Q1012" s="1529"/>
      <c r="R1012" s="1529"/>
      <c r="S1012" s="1529"/>
      <c r="T1012" s="1529"/>
      <c r="U1012" s="1529"/>
      <c r="V1012" s="1529"/>
      <c r="W1012" s="1529"/>
      <c r="X1012" s="1529"/>
      <c r="Y1012" s="1529"/>
      <c r="Z1012" s="1529"/>
      <c r="AA1012" s="1529"/>
      <c r="AB1012" s="1529"/>
      <c r="AC1012" s="1529"/>
      <c r="AD1012" s="1529"/>
      <c r="AE1012" s="1530"/>
      <c r="AF1012" s="79"/>
      <c r="AG1012" s="1536" t="s">
        <v>678</v>
      </c>
      <c r="AH1012" s="1537"/>
      <c r="AI1012" s="79"/>
      <c r="AJ1012" s="1401">
        <f>ROUND(IF(AG1012="yes",AJ991*0.02,0),0)</f>
        <v>0</v>
      </c>
      <c r="AK1012" s="1402"/>
      <c r="AL1012" s="1402"/>
      <c r="AM1012" s="1402"/>
      <c r="AN1012" s="1402"/>
      <c r="AO1012" s="1402"/>
      <c r="AP1012" s="1402"/>
      <c r="AQ1012" s="1403"/>
      <c r="AR1012" s="68"/>
      <c r="AS1012" s="68"/>
      <c r="AT1012" s="68"/>
      <c r="AU1012" s="68"/>
      <c r="AV1012" s="68"/>
      <c r="AW1012" s="68"/>
      <c r="AX1012" s="68"/>
      <c r="AY1012" s="213">
        <f>IF(A1064="Yes",0.05,0)</f>
        <v>0</v>
      </c>
    </row>
    <row r="1013" spans="1:51" ht="13" customHeight="1">
      <c r="A1013" s="14"/>
      <c r="B1013" s="73"/>
      <c r="C1013" s="74"/>
      <c r="D1013" s="1516" t="s">
        <v>1400</v>
      </c>
      <c r="E1013" s="1517"/>
      <c r="F1013" s="1517"/>
      <c r="G1013" s="1517"/>
      <c r="H1013" s="1517"/>
      <c r="I1013" s="1517"/>
      <c r="J1013" s="1517"/>
      <c r="K1013" s="1517"/>
      <c r="L1013" s="1517"/>
      <c r="M1013" s="1517"/>
      <c r="N1013" s="1517"/>
      <c r="O1013" s="1517"/>
      <c r="P1013" s="1517"/>
      <c r="Q1013" s="1517"/>
      <c r="R1013" s="1517"/>
      <c r="S1013" s="1517"/>
      <c r="T1013" s="1517"/>
      <c r="U1013" s="1517"/>
      <c r="V1013" s="1517"/>
      <c r="W1013" s="1517"/>
      <c r="X1013" s="1517"/>
      <c r="Y1013" s="1517"/>
      <c r="Z1013" s="1517"/>
      <c r="AA1013" s="1517"/>
      <c r="AB1013" s="1517"/>
      <c r="AC1013" s="1517"/>
      <c r="AD1013" s="1517"/>
      <c r="AE1013" s="1518"/>
      <c r="AF1013" s="1377" t="str">
        <f>IF(AND(AG1012="yes",AB212&lt;&gt;1),"The project may not be eligible for this boost","")</f>
        <v/>
      </c>
      <c r="AG1013" s="1378"/>
      <c r="AH1013" s="1378"/>
      <c r="AI1013" s="1379"/>
      <c r="AJ1013" s="1404"/>
      <c r="AK1013" s="1405"/>
      <c r="AL1013" s="1405"/>
      <c r="AM1013" s="1405"/>
      <c r="AN1013" s="1405"/>
      <c r="AO1013" s="1405"/>
      <c r="AP1013" s="1405"/>
      <c r="AQ1013" s="1406"/>
      <c r="AR1013" s="68"/>
      <c r="AS1013" s="68"/>
      <c r="AT1013" s="68"/>
      <c r="AU1013" s="68"/>
      <c r="AV1013" s="68"/>
      <c r="AW1013" s="68"/>
      <c r="AX1013" s="68"/>
      <c r="AY1013" s="213">
        <f>IF(A1070="Yes",0.02,0)</f>
        <v>0</v>
      </c>
    </row>
    <row r="1014" spans="1:51" ht="13" customHeight="1">
      <c r="A1014" s="14"/>
      <c r="B1014" s="75"/>
      <c r="C1014" s="76"/>
      <c r="D1014" s="1541"/>
      <c r="E1014" s="1542"/>
      <c r="F1014" s="1542"/>
      <c r="G1014" s="1542"/>
      <c r="H1014" s="1542"/>
      <c r="I1014" s="1542"/>
      <c r="J1014" s="1542"/>
      <c r="K1014" s="1542"/>
      <c r="L1014" s="1542"/>
      <c r="M1014" s="1542"/>
      <c r="N1014" s="1542"/>
      <c r="O1014" s="1542"/>
      <c r="P1014" s="1542"/>
      <c r="Q1014" s="1542"/>
      <c r="R1014" s="1542"/>
      <c r="S1014" s="1542"/>
      <c r="T1014" s="1542"/>
      <c r="U1014" s="1542"/>
      <c r="V1014" s="1542"/>
      <c r="W1014" s="1542"/>
      <c r="X1014" s="1542"/>
      <c r="Y1014" s="1542"/>
      <c r="Z1014" s="1542"/>
      <c r="AA1014" s="1542"/>
      <c r="AB1014" s="1542"/>
      <c r="AC1014" s="1542"/>
      <c r="AD1014" s="1542"/>
      <c r="AE1014" s="1543"/>
      <c r="AF1014" s="1380"/>
      <c r="AG1014" s="1381"/>
      <c r="AH1014" s="1381"/>
      <c r="AI1014" s="1382"/>
      <c r="AJ1014" s="1407"/>
      <c r="AK1014" s="1408"/>
      <c r="AL1014" s="1408"/>
      <c r="AM1014" s="1408"/>
      <c r="AN1014" s="1408"/>
      <c r="AO1014" s="1408"/>
      <c r="AP1014" s="1408"/>
      <c r="AQ1014" s="1409"/>
      <c r="AR1014" s="68"/>
      <c r="AS1014" s="68"/>
      <c r="AT1014" s="68"/>
      <c r="AU1014" s="68"/>
      <c r="AV1014" s="68"/>
      <c r="AW1014" s="68"/>
      <c r="AX1014" s="68"/>
      <c r="AY1014" s="213">
        <f>IF(A1076="Yes",0.04,0)</f>
        <v>0</v>
      </c>
    </row>
    <row r="1015" spans="1:51" ht="13" customHeight="1">
      <c r="A1015" s="14"/>
      <c r="B1015" s="79"/>
      <c r="C1015" s="80" t="s">
        <v>219</v>
      </c>
      <c r="D1015" s="1538" t="s">
        <v>1401</v>
      </c>
      <c r="E1015" s="1539"/>
      <c r="F1015" s="1539"/>
      <c r="G1015" s="1539"/>
      <c r="H1015" s="1539"/>
      <c r="I1015" s="1539"/>
      <c r="J1015" s="1539"/>
      <c r="K1015" s="1539"/>
      <c r="L1015" s="1539"/>
      <c r="M1015" s="1539"/>
      <c r="N1015" s="1539"/>
      <c r="O1015" s="1539"/>
      <c r="P1015" s="1539"/>
      <c r="Q1015" s="1539"/>
      <c r="R1015" s="1539"/>
      <c r="S1015" s="1539"/>
      <c r="T1015" s="1539"/>
      <c r="U1015" s="1539"/>
      <c r="V1015" s="1539"/>
      <c r="W1015" s="1539"/>
      <c r="X1015" s="1539"/>
      <c r="Y1015" s="1539"/>
      <c r="Z1015" s="1539"/>
      <c r="AA1015" s="1539"/>
      <c r="AB1015" s="1539"/>
      <c r="AC1015" s="1539"/>
      <c r="AD1015" s="1539"/>
      <c r="AE1015" s="1540"/>
      <c r="AF1015" s="79"/>
      <c r="AG1015" s="1536" t="s">
        <v>678</v>
      </c>
      <c r="AH1015" s="1537"/>
      <c r="AI1015" s="87"/>
      <c r="AJ1015" s="1401">
        <f>IF(AG1015="yes",AJ991*AY1010,0)</f>
        <v>0</v>
      </c>
      <c r="AK1015" s="1402"/>
      <c r="AL1015" s="1402"/>
      <c r="AM1015" s="1402"/>
      <c r="AN1015" s="1402"/>
      <c r="AO1015" s="1402"/>
      <c r="AP1015" s="1402"/>
      <c r="AQ1015" s="1403"/>
      <c r="AR1015" s="68"/>
      <c r="AS1015" s="68"/>
      <c r="AT1015" s="68"/>
      <c r="AU1015" s="68"/>
      <c r="AV1015" s="68"/>
      <c r="AW1015" s="68"/>
      <c r="AX1015" s="68"/>
      <c r="AY1015" s="213">
        <f>IF(A1083="Yes",0.04,0)</f>
        <v>0</v>
      </c>
    </row>
    <row r="1016" spans="1:51" ht="13" customHeight="1">
      <c r="A1016" s="14"/>
      <c r="B1016" s="73"/>
      <c r="C1016" s="74"/>
      <c r="D1016" s="1516" t="s">
        <v>1402</v>
      </c>
      <c r="E1016" s="1517"/>
      <c r="F1016" s="1517"/>
      <c r="G1016" s="1517"/>
      <c r="H1016" s="1517"/>
      <c r="I1016" s="1517"/>
      <c r="J1016" s="1517"/>
      <c r="K1016" s="1517"/>
      <c r="L1016" s="1517"/>
      <c r="M1016" s="1517"/>
      <c r="N1016" s="1517"/>
      <c r="O1016" s="1517"/>
      <c r="P1016" s="1517"/>
      <c r="Q1016" s="1517"/>
      <c r="R1016" s="1517"/>
      <c r="S1016" s="1517"/>
      <c r="T1016" s="1517"/>
      <c r="U1016" s="1517"/>
      <c r="V1016" s="1517"/>
      <c r="W1016" s="1517"/>
      <c r="X1016" s="1517"/>
      <c r="Y1016" s="1517"/>
      <c r="Z1016" s="1517"/>
      <c r="AA1016" s="1517"/>
      <c r="AB1016" s="1517"/>
      <c r="AC1016" s="1517"/>
      <c r="AD1016" s="1517"/>
      <c r="AE1016" s="1518"/>
      <c r="AF1016" s="1371" t="str">
        <f>IF(AND(AG1015="Yes",AY1010=0),AY1022,"")</f>
        <v/>
      </c>
      <c r="AG1016" s="1372"/>
      <c r="AH1016" s="1372"/>
      <c r="AI1016" s="1373"/>
      <c r="AJ1016" s="1404"/>
      <c r="AK1016" s="1405"/>
      <c r="AL1016" s="1405"/>
      <c r="AM1016" s="1405"/>
      <c r="AN1016" s="1405"/>
      <c r="AO1016" s="1405"/>
      <c r="AP1016" s="1405"/>
      <c r="AQ1016" s="1406"/>
      <c r="AR1016" s="68"/>
      <c r="AS1016" s="68"/>
      <c r="AT1016" s="68"/>
      <c r="AU1016" s="68"/>
      <c r="AV1016" s="68"/>
      <c r="AW1016" s="68"/>
      <c r="AX1016" s="68"/>
      <c r="AY1016" s="213">
        <f>IF(A1086="Yes",0.01,0)</f>
        <v>0</v>
      </c>
    </row>
    <row r="1017" spans="1:51" ht="13" customHeight="1">
      <c r="A1017" s="14"/>
      <c r="B1017" s="73"/>
      <c r="C1017" s="74"/>
      <c r="D1017" s="1516"/>
      <c r="E1017" s="1517"/>
      <c r="F1017" s="1517"/>
      <c r="G1017" s="1517"/>
      <c r="H1017" s="1517"/>
      <c r="I1017" s="1517"/>
      <c r="J1017" s="1517"/>
      <c r="K1017" s="1517"/>
      <c r="L1017" s="1517"/>
      <c r="M1017" s="1517"/>
      <c r="N1017" s="1517"/>
      <c r="O1017" s="1517"/>
      <c r="P1017" s="1517"/>
      <c r="Q1017" s="1517"/>
      <c r="R1017" s="1517"/>
      <c r="S1017" s="1517"/>
      <c r="T1017" s="1517"/>
      <c r="U1017" s="1517"/>
      <c r="V1017" s="1517"/>
      <c r="W1017" s="1517"/>
      <c r="X1017" s="1517"/>
      <c r="Y1017" s="1517"/>
      <c r="Z1017" s="1517"/>
      <c r="AA1017" s="1517"/>
      <c r="AB1017" s="1517"/>
      <c r="AC1017" s="1517"/>
      <c r="AD1017" s="1517"/>
      <c r="AE1017" s="1518"/>
      <c r="AF1017" s="1371"/>
      <c r="AG1017" s="1372"/>
      <c r="AH1017" s="1372"/>
      <c r="AI1017" s="1373"/>
      <c r="AJ1017" s="1404"/>
      <c r="AK1017" s="1405"/>
      <c r="AL1017" s="1405"/>
      <c r="AM1017" s="1405"/>
      <c r="AN1017" s="1405"/>
      <c r="AO1017" s="1405"/>
      <c r="AP1017" s="1405"/>
      <c r="AQ1017" s="1406"/>
      <c r="AR1017" s="68"/>
      <c r="AS1017" s="68"/>
      <c r="AT1017" s="68"/>
      <c r="AU1017" s="68"/>
      <c r="AV1017" s="68"/>
      <c r="AW1017" s="68"/>
      <c r="AX1017" s="68"/>
      <c r="AY1017" s="213">
        <f>IF(A1091="Yes",0.01,0)</f>
        <v>0</v>
      </c>
    </row>
    <row r="1018" spans="1:51" ht="13" customHeight="1">
      <c r="A1018" s="14"/>
      <c r="B1018" s="81"/>
      <c r="C1018" s="82"/>
      <c r="D1018" s="1541"/>
      <c r="E1018" s="1542"/>
      <c r="F1018" s="1542"/>
      <c r="G1018" s="1542"/>
      <c r="H1018" s="1542"/>
      <c r="I1018" s="1542"/>
      <c r="J1018" s="1542"/>
      <c r="K1018" s="1542"/>
      <c r="L1018" s="1542"/>
      <c r="M1018" s="1542"/>
      <c r="N1018" s="1542"/>
      <c r="O1018" s="1542"/>
      <c r="P1018" s="1542"/>
      <c r="Q1018" s="1542"/>
      <c r="R1018" s="1542"/>
      <c r="S1018" s="1542"/>
      <c r="T1018" s="1542"/>
      <c r="U1018" s="1542"/>
      <c r="V1018" s="1542"/>
      <c r="W1018" s="1542"/>
      <c r="X1018" s="1542"/>
      <c r="Y1018" s="1542"/>
      <c r="Z1018" s="1542"/>
      <c r="AA1018" s="1542"/>
      <c r="AB1018" s="1542"/>
      <c r="AC1018" s="1542"/>
      <c r="AD1018" s="1542"/>
      <c r="AE1018" s="1543"/>
      <c r="AF1018" s="1374"/>
      <c r="AG1018" s="1375"/>
      <c r="AH1018" s="1375"/>
      <c r="AI1018" s="1376"/>
      <c r="AJ1018" s="1407"/>
      <c r="AK1018" s="1408"/>
      <c r="AL1018" s="1408"/>
      <c r="AM1018" s="1408"/>
      <c r="AN1018" s="1408"/>
      <c r="AO1018" s="1408"/>
      <c r="AP1018" s="1408"/>
      <c r="AQ1018" s="1409"/>
      <c r="AR1018" s="68"/>
      <c r="AS1018" s="68"/>
      <c r="AT1018" s="68"/>
      <c r="AU1018" s="68"/>
      <c r="AV1018" s="68"/>
      <c r="AW1018" s="68"/>
      <c r="AX1018" s="68"/>
      <c r="AY1018" s="213">
        <f>IF(A1094="Yes",0.01,0)</f>
        <v>0</v>
      </c>
    </row>
    <row r="1019" spans="1:51" ht="13" customHeight="1">
      <c r="A1019" s="14"/>
      <c r="B1019" s="79"/>
      <c r="C1019" s="80" t="s">
        <v>224</v>
      </c>
      <c r="D1019" s="1573" t="s">
        <v>1403</v>
      </c>
      <c r="E1019" s="1574"/>
      <c r="F1019" s="1574"/>
      <c r="G1019" s="1574"/>
      <c r="H1019" s="1574"/>
      <c r="I1019" s="1574"/>
      <c r="J1019" s="1574"/>
      <c r="K1019" s="1574"/>
      <c r="L1019" s="1574"/>
      <c r="M1019" s="1574"/>
      <c r="N1019" s="1574"/>
      <c r="O1019" s="1574"/>
      <c r="P1019" s="1574"/>
      <c r="Q1019" s="1574"/>
      <c r="R1019" s="1574"/>
      <c r="S1019" s="1574"/>
      <c r="T1019" s="1574"/>
      <c r="U1019" s="1574"/>
      <c r="V1019" s="1574"/>
      <c r="W1019" s="1574"/>
      <c r="X1019" s="1574"/>
      <c r="Y1019" s="1574"/>
      <c r="Z1019" s="1574"/>
      <c r="AA1019" s="1574"/>
      <c r="AB1019" s="1574"/>
      <c r="AC1019" s="1574"/>
      <c r="AD1019" s="1574"/>
      <c r="AE1019" s="1575"/>
      <c r="AF1019" s="79"/>
      <c r="AG1019" s="1536" t="s">
        <v>678</v>
      </c>
      <c r="AH1019" s="1537"/>
      <c r="AI1019" s="87"/>
      <c r="AJ1019" s="1401">
        <f>ROUND(IF(AND(AG1019="Yes",J1023&lt;&gt;"N/A",AF1022&lt;&gt;""),MIN(AF1022,(0.15*AJ991)),0),0)</f>
        <v>0</v>
      </c>
      <c r="AK1019" s="1402"/>
      <c r="AL1019" s="1402"/>
      <c r="AM1019" s="1402"/>
      <c r="AN1019" s="1402"/>
      <c r="AO1019" s="1402"/>
      <c r="AP1019" s="1402"/>
      <c r="AQ1019" s="1403"/>
      <c r="AR1019" s="68"/>
      <c r="AS1019" s="68"/>
      <c r="AT1019" s="68"/>
      <c r="AU1019" s="68"/>
      <c r="AV1019" s="68"/>
      <c r="AW1019" s="68"/>
      <c r="AX1019" s="68"/>
      <c r="AY1019" s="213">
        <f>IF(A1098="Yes",0.02,0)</f>
        <v>0</v>
      </c>
    </row>
    <row r="1020" spans="1:51" ht="13" customHeight="1">
      <c r="A1020" s="14"/>
      <c r="B1020" s="81"/>
      <c r="C1020" s="84"/>
      <c r="D1020" s="1576"/>
      <c r="E1020" s="1577"/>
      <c r="F1020" s="1577"/>
      <c r="G1020" s="1577"/>
      <c r="H1020" s="1577"/>
      <c r="I1020" s="1577"/>
      <c r="J1020" s="1577"/>
      <c r="K1020" s="1577"/>
      <c r="L1020" s="1577"/>
      <c r="M1020" s="1577"/>
      <c r="N1020" s="1577"/>
      <c r="O1020" s="1577"/>
      <c r="P1020" s="1577"/>
      <c r="Q1020" s="1577"/>
      <c r="R1020" s="1577"/>
      <c r="S1020" s="1577"/>
      <c r="T1020" s="1577"/>
      <c r="U1020" s="1577"/>
      <c r="V1020" s="1577"/>
      <c r="W1020" s="1577"/>
      <c r="X1020" s="1577"/>
      <c r="Y1020" s="1577"/>
      <c r="Z1020" s="1577"/>
      <c r="AA1020" s="1577"/>
      <c r="AB1020" s="1577"/>
      <c r="AC1020" s="1577"/>
      <c r="AD1020" s="1577"/>
      <c r="AE1020" s="1578"/>
      <c r="AF1020" s="1544" t="str">
        <f>IF(AG1019="yes","Please Select Type and Enter Amount:","")</f>
        <v/>
      </c>
      <c r="AG1020" s="1545"/>
      <c r="AH1020" s="1545"/>
      <c r="AI1020" s="1546"/>
      <c r="AJ1020" s="1404"/>
      <c r="AK1020" s="1405"/>
      <c r="AL1020" s="1405"/>
      <c r="AM1020" s="1405"/>
      <c r="AN1020" s="1405"/>
      <c r="AO1020" s="1405"/>
      <c r="AP1020" s="1405"/>
      <c r="AQ1020" s="1406"/>
      <c r="AR1020" s="68"/>
      <c r="AS1020" s="68"/>
      <c r="AT1020" s="68"/>
      <c r="AU1020" s="68"/>
      <c r="AV1020" s="68"/>
      <c r="AW1020" s="68"/>
      <c r="AX1020" s="68"/>
      <c r="AY1020" s="214">
        <f>IF(A1103="Yes",0.02,0)</f>
        <v>0</v>
      </c>
    </row>
    <row r="1021" spans="1:51" ht="13" customHeight="1">
      <c r="A1021" s="14"/>
      <c r="B1021" s="81"/>
      <c r="C1021" s="84"/>
      <c r="D1021" s="1516" t="s">
        <v>1404</v>
      </c>
      <c r="E1021" s="1517"/>
      <c r="F1021" s="1517"/>
      <c r="G1021" s="1517"/>
      <c r="H1021" s="1517"/>
      <c r="I1021" s="1517"/>
      <c r="J1021" s="1517"/>
      <c r="K1021" s="1517"/>
      <c r="L1021" s="1517"/>
      <c r="M1021" s="1517"/>
      <c r="N1021" s="1517"/>
      <c r="O1021" s="1517"/>
      <c r="P1021" s="1517"/>
      <c r="Q1021" s="1517"/>
      <c r="R1021" s="1517"/>
      <c r="S1021" s="1517"/>
      <c r="T1021" s="1517"/>
      <c r="U1021" s="1517"/>
      <c r="V1021" s="1517"/>
      <c r="W1021" s="1517"/>
      <c r="X1021" s="1517"/>
      <c r="Y1021" s="1517"/>
      <c r="Z1021" s="1517"/>
      <c r="AA1021" s="1517"/>
      <c r="AB1021" s="1517"/>
      <c r="AC1021" s="1517"/>
      <c r="AD1021" s="1517"/>
      <c r="AE1021" s="1518"/>
      <c r="AF1021" s="1544"/>
      <c r="AG1021" s="1545"/>
      <c r="AH1021" s="1545"/>
      <c r="AI1021" s="1546"/>
      <c r="AJ1021" s="1404"/>
      <c r="AK1021" s="1405"/>
      <c r="AL1021" s="1405"/>
      <c r="AM1021" s="1405"/>
      <c r="AN1021" s="1405"/>
      <c r="AO1021" s="1405"/>
      <c r="AP1021" s="1405"/>
      <c r="AQ1021" s="1406"/>
      <c r="AR1021" s="68"/>
      <c r="AS1021" s="68"/>
      <c r="AT1021" s="68"/>
      <c r="AU1021" s="68"/>
      <c r="AV1021" s="68"/>
      <c r="AW1021" s="68"/>
      <c r="AX1021" s="68"/>
      <c r="AY1021" s="68"/>
    </row>
    <row r="1022" spans="1:51" ht="13" customHeight="1">
      <c r="A1022" s="14"/>
      <c r="B1022" s="81"/>
      <c r="C1022" s="84"/>
      <c r="D1022" s="1516"/>
      <c r="E1022" s="1517"/>
      <c r="F1022" s="1517"/>
      <c r="G1022" s="1517"/>
      <c r="H1022" s="1517"/>
      <c r="I1022" s="1517"/>
      <c r="J1022" s="1517"/>
      <c r="K1022" s="1517"/>
      <c r="L1022" s="1517"/>
      <c r="M1022" s="1517"/>
      <c r="N1022" s="1517"/>
      <c r="O1022" s="1517"/>
      <c r="P1022" s="1517"/>
      <c r="Q1022" s="1517"/>
      <c r="R1022" s="1517"/>
      <c r="S1022" s="1517"/>
      <c r="T1022" s="1517"/>
      <c r="U1022" s="1517"/>
      <c r="V1022" s="1517"/>
      <c r="W1022" s="1517"/>
      <c r="X1022" s="1517"/>
      <c r="Y1022" s="1517"/>
      <c r="Z1022" s="1517"/>
      <c r="AA1022" s="1517"/>
      <c r="AB1022" s="1517"/>
      <c r="AC1022" s="1517"/>
      <c r="AD1022" s="1517"/>
      <c r="AE1022" s="1518"/>
      <c r="AF1022" s="1547"/>
      <c r="AG1022" s="1547"/>
      <c r="AH1022" s="1547"/>
      <c r="AI1022" s="1547"/>
      <c r="AJ1022" s="1404"/>
      <c r="AK1022" s="1405"/>
      <c r="AL1022" s="1405"/>
      <c r="AM1022" s="1405"/>
      <c r="AN1022" s="1405"/>
      <c r="AO1022" s="1405"/>
      <c r="AP1022" s="1405"/>
      <c r="AQ1022" s="1406"/>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519" t="s">
        <v>600</v>
      </c>
      <c r="K1023" s="1520"/>
      <c r="L1023" s="1520"/>
      <c r="M1023" s="1520"/>
      <c r="N1023" s="1520"/>
      <c r="O1023" s="1520"/>
      <c r="P1023" s="1520"/>
      <c r="Q1023" s="1520"/>
      <c r="R1023" s="1520"/>
      <c r="S1023" s="1520"/>
      <c r="T1023" s="1520"/>
      <c r="U1023" s="1520"/>
      <c r="V1023" s="1520"/>
      <c r="W1023" s="1520"/>
      <c r="X1023" s="1520"/>
      <c r="Y1023" s="1520"/>
      <c r="Z1023" s="1520"/>
      <c r="AA1023" s="1520"/>
      <c r="AB1023" s="1520"/>
      <c r="AC1023" s="1520"/>
      <c r="AD1023" s="1520"/>
      <c r="AE1023" s="1521"/>
      <c r="AF1023" s="1547"/>
      <c r="AG1023" s="1547"/>
      <c r="AH1023" s="1547"/>
      <c r="AI1023" s="1547"/>
      <c r="AJ1023" s="1407"/>
      <c r="AK1023" s="1408"/>
      <c r="AL1023" s="1408"/>
      <c r="AM1023" s="1408"/>
      <c r="AN1023" s="1408"/>
      <c r="AO1023" s="1408"/>
      <c r="AP1023" s="1408"/>
      <c r="AQ1023" s="1409"/>
      <c r="AR1023" s="68"/>
      <c r="AS1023" s="68"/>
      <c r="AT1023" s="68"/>
      <c r="AU1023" s="68"/>
      <c r="AV1023" s="68"/>
      <c r="AW1023" s="68"/>
      <c r="AX1023" s="68"/>
      <c r="AY1023" s="68"/>
    </row>
    <row r="1024" spans="1:51" ht="13" customHeight="1">
      <c r="A1024" s="14"/>
      <c r="B1024" s="79"/>
      <c r="C1024" s="80" t="s">
        <v>230</v>
      </c>
      <c r="D1024" s="1528" t="s">
        <v>1405</v>
      </c>
      <c r="E1024" s="1529"/>
      <c r="F1024" s="1529"/>
      <c r="G1024" s="1529"/>
      <c r="H1024" s="1529"/>
      <c r="I1024" s="1529"/>
      <c r="J1024" s="1529"/>
      <c r="K1024" s="1529"/>
      <c r="L1024" s="1529"/>
      <c r="M1024" s="1529"/>
      <c r="N1024" s="1529"/>
      <c r="O1024" s="1529"/>
      <c r="P1024" s="1529"/>
      <c r="Q1024" s="1529"/>
      <c r="R1024" s="1529"/>
      <c r="S1024" s="1529"/>
      <c r="T1024" s="1529"/>
      <c r="U1024" s="1529"/>
      <c r="V1024" s="1529"/>
      <c r="W1024" s="1529"/>
      <c r="X1024" s="1529"/>
      <c r="Y1024" s="1529"/>
      <c r="Z1024" s="1529"/>
      <c r="AA1024" s="1529"/>
      <c r="AB1024" s="1529"/>
      <c r="AC1024" s="1529"/>
      <c r="AD1024" s="1529"/>
      <c r="AE1024" s="1530"/>
      <c r="AF1024" s="79"/>
      <c r="AG1024" s="1536" t="s">
        <v>678</v>
      </c>
      <c r="AH1024" s="1537"/>
      <c r="AI1024" s="87"/>
      <c r="AJ1024" s="1401">
        <f>ROUND(IF(AG1024="Yes",AF1026,0),0)</f>
        <v>0</v>
      </c>
      <c r="AK1024" s="1402"/>
      <c r="AL1024" s="1402"/>
      <c r="AM1024" s="1402"/>
      <c r="AN1024" s="1402"/>
      <c r="AO1024" s="1402"/>
      <c r="AP1024" s="1402"/>
      <c r="AQ1024" s="1403"/>
      <c r="AR1024" s="68"/>
      <c r="AS1024" s="68"/>
      <c r="AT1024" s="68"/>
      <c r="AU1024" s="68"/>
      <c r="AV1024" s="68"/>
      <c r="AW1024" s="68"/>
      <c r="AX1024" s="68"/>
      <c r="AY1024" s="68"/>
    </row>
    <row r="1025" spans="1:51" ht="13" customHeight="1">
      <c r="A1025" s="14"/>
      <c r="B1025" s="73"/>
      <c r="C1025" s="74"/>
      <c r="D1025" s="1516" t="s">
        <v>1880</v>
      </c>
      <c r="E1025" s="1517"/>
      <c r="F1025" s="1517"/>
      <c r="G1025" s="1517"/>
      <c r="H1025" s="1517"/>
      <c r="I1025" s="1517"/>
      <c r="J1025" s="1517"/>
      <c r="K1025" s="1517"/>
      <c r="L1025" s="1517"/>
      <c r="M1025" s="1517"/>
      <c r="N1025" s="1517"/>
      <c r="O1025" s="1517"/>
      <c r="P1025" s="1517"/>
      <c r="Q1025" s="1517"/>
      <c r="R1025" s="1517"/>
      <c r="S1025" s="1517"/>
      <c r="T1025" s="1517"/>
      <c r="U1025" s="1517"/>
      <c r="V1025" s="1517"/>
      <c r="W1025" s="1517"/>
      <c r="X1025" s="1517"/>
      <c r="Y1025" s="1517"/>
      <c r="Z1025" s="1517"/>
      <c r="AA1025" s="1517"/>
      <c r="AB1025" s="1517"/>
      <c r="AC1025" s="1517"/>
      <c r="AD1025" s="1517"/>
      <c r="AE1025" s="1518"/>
      <c r="AF1025" s="1579" t="str">
        <f>IF(AG1024="yes","Enter Amount:","")</f>
        <v/>
      </c>
      <c r="AG1025" s="1580"/>
      <c r="AH1025" s="1580"/>
      <c r="AI1025" s="1581"/>
      <c r="AJ1025" s="1404"/>
      <c r="AK1025" s="1405"/>
      <c r="AL1025" s="1405"/>
      <c r="AM1025" s="1405"/>
      <c r="AN1025" s="1405"/>
      <c r="AO1025" s="1405"/>
      <c r="AP1025" s="1405"/>
      <c r="AQ1025" s="1406"/>
      <c r="AR1025" s="68"/>
      <c r="AS1025" s="68"/>
      <c r="AT1025" s="68"/>
      <c r="AU1025" s="68"/>
      <c r="AV1025" s="68"/>
      <c r="AW1025" s="68"/>
      <c r="AX1025" s="68"/>
      <c r="AY1025" s="68"/>
    </row>
    <row r="1026" spans="1:51" ht="13" customHeight="1">
      <c r="A1026" s="14"/>
      <c r="B1026" s="73"/>
      <c r="C1026" s="74"/>
      <c r="D1026" s="1516"/>
      <c r="E1026" s="1517"/>
      <c r="F1026" s="1517"/>
      <c r="G1026" s="1517"/>
      <c r="H1026" s="1517"/>
      <c r="I1026" s="1517"/>
      <c r="J1026" s="1517"/>
      <c r="K1026" s="1517"/>
      <c r="L1026" s="1517"/>
      <c r="M1026" s="1517"/>
      <c r="N1026" s="1517"/>
      <c r="O1026" s="1517"/>
      <c r="P1026" s="1517"/>
      <c r="Q1026" s="1517"/>
      <c r="R1026" s="1517"/>
      <c r="S1026" s="1517"/>
      <c r="T1026" s="1517"/>
      <c r="U1026" s="1517"/>
      <c r="V1026" s="1517"/>
      <c r="W1026" s="1517"/>
      <c r="X1026" s="1517"/>
      <c r="Y1026" s="1517"/>
      <c r="Z1026" s="1517"/>
      <c r="AA1026" s="1517"/>
      <c r="AB1026" s="1517"/>
      <c r="AC1026" s="1517"/>
      <c r="AD1026" s="1517"/>
      <c r="AE1026" s="1518"/>
      <c r="AF1026" s="1547"/>
      <c r="AG1026" s="1547"/>
      <c r="AH1026" s="1547"/>
      <c r="AI1026" s="1547"/>
      <c r="AJ1026" s="1404"/>
      <c r="AK1026" s="1405"/>
      <c r="AL1026" s="1405"/>
      <c r="AM1026" s="1405"/>
      <c r="AN1026" s="1405"/>
      <c r="AO1026" s="1405"/>
      <c r="AP1026" s="1405"/>
      <c r="AQ1026" s="1406"/>
      <c r="AR1026" s="68"/>
      <c r="AS1026" s="68"/>
      <c r="AT1026" s="68"/>
      <c r="AU1026" s="68"/>
      <c r="AV1026" s="68"/>
      <c r="AW1026" s="68"/>
      <c r="AX1026" s="68"/>
      <c r="AY1026" s="68"/>
    </row>
    <row r="1027" spans="1:51" ht="13" customHeight="1">
      <c r="A1027" s="14"/>
      <c r="B1027" s="85"/>
      <c r="C1027" s="84"/>
      <c r="D1027" s="1541"/>
      <c r="E1027" s="1542"/>
      <c r="F1027" s="1542"/>
      <c r="G1027" s="1542"/>
      <c r="H1027" s="1542"/>
      <c r="I1027" s="1542"/>
      <c r="J1027" s="1542"/>
      <c r="K1027" s="1542"/>
      <c r="L1027" s="1542"/>
      <c r="M1027" s="1542"/>
      <c r="N1027" s="1542"/>
      <c r="O1027" s="1542"/>
      <c r="P1027" s="1542"/>
      <c r="Q1027" s="1542"/>
      <c r="R1027" s="1542"/>
      <c r="S1027" s="1542"/>
      <c r="T1027" s="1542"/>
      <c r="U1027" s="1542"/>
      <c r="V1027" s="1542"/>
      <c r="W1027" s="1542"/>
      <c r="X1027" s="1542"/>
      <c r="Y1027" s="1542"/>
      <c r="Z1027" s="1542"/>
      <c r="AA1027" s="1542"/>
      <c r="AB1027" s="1542"/>
      <c r="AC1027" s="1542"/>
      <c r="AD1027" s="1542"/>
      <c r="AE1027" s="1543"/>
      <c r="AF1027" s="1547"/>
      <c r="AG1027" s="1547"/>
      <c r="AH1027" s="1547"/>
      <c r="AI1027" s="1547"/>
      <c r="AJ1027" s="1407"/>
      <c r="AK1027" s="1408"/>
      <c r="AL1027" s="1408"/>
      <c r="AM1027" s="1408"/>
      <c r="AN1027" s="1408"/>
      <c r="AO1027" s="1408"/>
      <c r="AP1027" s="1408"/>
      <c r="AQ1027" s="1409"/>
      <c r="AR1027" s="68"/>
      <c r="AS1027" s="68"/>
      <c r="AT1027" s="68"/>
      <c r="AU1027" s="68"/>
      <c r="AV1027" s="68"/>
      <c r="AW1027" s="68"/>
      <c r="AX1027" s="68"/>
      <c r="AY1027" s="68"/>
    </row>
    <row r="1028" spans="1:51" ht="13" customHeight="1">
      <c r="A1028" s="14"/>
      <c r="B1028" s="79"/>
      <c r="C1028" s="80" t="s">
        <v>235</v>
      </c>
      <c r="D1028" s="1538" t="s">
        <v>1406</v>
      </c>
      <c r="E1028" s="1539"/>
      <c r="F1028" s="1539"/>
      <c r="G1028" s="1539"/>
      <c r="H1028" s="1539"/>
      <c r="I1028" s="1539"/>
      <c r="J1028" s="1539"/>
      <c r="K1028" s="1539"/>
      <c r="L1028" s="1539"/>
      <c r="M1028" s="1539"/>
      <c r="N1028" s="1539"/>
      <c r="O1028" s="1539"/>
      <c r="P1028" s="1539"/>
      <c r="Q1028" s="1539"/>
      <c r="R1028" s="1539"/>
      <c r="S1028" s="1539"/>
      <c r="T1028" s="1539"/>
      <c r="U1028" s="1539"/>
      <c r="V1028" s="1539"/>
      <c r="W1028" s="1539"/>
      <c r="X1028" s="1539"/>
      <c r="Y1028" s="1539"/>
      <c r="Z1028" s="1539"/>
      <c r="AA1028" s="1539"/>
      <c r="AB1028" s="1539"/>
      <c r="AC1028" s="1539"/>
      <c r="AD1028" s="1539"/>
      <c r="AE1028" s="1540"/>
      <c r="AF1028" s="79"/>
      <c r="AG1028" s="1536" t="s">
        <v>554</v>
      </c>
      <c r="AH1028" s="1537"/>
      <c r="AI1028" s="87"/>
      <c r="AJ1028" s="1401">
        <f>ROUND(IF(AG1028="yes",(AJ991*0.1),0),0)</f>
        <v>6321797</v>
      </c>
      <c r="AK1028" s="1402"/>
      <c r="AL1028" s="1402"/>
      <c r="AM1028" s="1402"/>
      <c r="AN1028" s="1402"/>
      <c r="AO1028" s="1402"/>
      <c r="AP1028" s="1402"/>
      <c r="AQ1028" s="1403"/>
      <c r="AR1028" s="68"/>
      <c r="AS1028" s="68"/>
      <c r="AT1028" s="68"/>
      <c r="AU1028" s="68"/>
      <c r="AV1028" s="68"/>
      <c r="AW1028" s="68"/>
      <c r="AX1028" s="68"/>
      <c r="AY1028" s="68"/>
    </row>
    <row r="1029" spans="1:51" ht="13" customHeight="1">
      <c r="A1029" s="14"/>
      <c r="B1029" s="73"/>
      <c r="C1029" s="74"/>
      <c r="D1029" s="1516" t="s">
        <v>1407</v>
      </c>
      <c r="E1029" s="1517"/>
      <c r="F1029" s="1517"/>
      <c r="G1029" s="1517"/>
      <c r="H1029" s="1517"/>
      <c r="I1029" s="1517"/>
      <c r="J1029" s="1517"/>
      <c r="K1029" s="1517"/>
      <c r="L1029" s="1517"/>
      <c r="M1029" s="1517"/>
      <c r="N1029" s="1517"/>
      <c r="O1029" s="1517"/>
      <c r="P1029" s="1517"/>
      <c r="Q1029" s="1517"/>
      <c r="R1029" s="1517"/>
      <c r="S1029" s="1517"/>
      <c r="T1029" s="1517"/>
      <c r="U1029" s="1517"/>
      <c r="V1029" s="1517"/>
      <c r="W1029" s="1517"/>
      <c r="X1029" s="1517"/>
      <c r="Y1029" s="1517"/>
      <c r="Z1029" s="1517"/>
      <c r="AA1029" s="1517"/>
      <c r="AB1029" s="1517"/>
      <c r="AC1029" s="1517"/>
      <c r="AD1029" s="1517"/>
      <c r="AE1029" s="1518"/>
      <c r="AF1029" s="73"/>
      <c r="AG1029" s="14"/>
      <c r="AH1029" s="14"/>
      <c r="AI1029" s="83"/>
      <c r="AJ1029" s="1404"/>
      <c r="AK1029" s="1405"/>
      <c r="AL1029" s="1405"/>
      <c r="AM1029" s="1405"/>
      <c r="AN1029" s="1405"/>
      <c r="AO1029" s="1405"/>
      <c r="AP1029" s="1405"/>
      <c r="AQ1029" s="1406"/>
      <c r="AR1029" s="68"/>
      <c r="AS1029" s="68"/>
      <c r="AT1029" s="68"/>
      <c r="AU1029" s="68"/>
      <c r="AV1029" s="68"/>
      <c r="AW1029" s="68"/>
      <c r="AX1029" s="68"/>
      <c r="AY1029" s="68"/>
    </row>
    <row r="1030" spans="1:51" ht="13" customHeight="1">
      <c r="A1030" s="14"/>
      <c r="B1030" s="77"/>
      <c r="C1030" s="74"/>
      <c r="D1030" s="1541"/>
      <c r="E1030" s="1542"/>
      <c r="F1030" s="1542"/>
      <c r="G1030" s="1542"/>
      <c r="H1030" s="1542"/>
      <c r="I1030" s="1542"/>
      <c r="J1030" s="1542"/>
      <c r="K1030" s="1542"/>
      <c r="L1030" s="1542"/>
      <c r="M1030" s="1542"/>
      <c r="N1030" s="1542"/>
      <c r="O1030" s="1542"/>
      <c r="P1030" s="1542"/>
      <c r="Q1030" s="1542"/>
      <c r="R1030" s="1542"/>
      <c r="S1030" s="1542"/>
      <c r="T1030" s="1542"/>
      <c r="U1030" s="1542"/>
      <c r="V1030" s="1542"/>
      <c r="W1030" s="1542"/>
      <c r="X1030" s="1542"/>
      <c r="Y1030" s="1542"/>
      <c r="Z1030" s="1542"/>
      <c r="AA1030" s="1542"/>
      <c r="AB1030" s="1542"/>
      <c r="AC1030" s="1542"/>
      <c r="AD1030" s="1542"/>
      <c r="AE1030" s="1543"/>
      <c r="AF1030" s="73"/>
      <c r="AG1030" s="14"/>
      <c r="AH1030" s="14"/>
      <c r="AI1030" s="83"/>
      <c r="AJ1030" s="1407"/>
      <c r="AK1030" s="1408"/>
      <c r="AL1030" s="1408"/>
      <c r="AM1030" s="1408"/>
      <c r="AN1030" s="1408"/>
      <c r="AO1030" s="1408"/>
      <c r="AP1030" s="1408"/>
      <c r="AQ1030" s="1409"/>
      <c r="AR1030" s="68"/>
      <c r="AS1030" s="68"/>
      <c r="AT1030" s="68"/>
      <c r="AU1030" s="68"/>
      <c r="AV1030" s="68"/>
      <c r="AW1030" s="68"/>
      <c r="AX1030" s="68"/>
      <c r="AY1030" s="68"/>
    </row>
    <row r="1031" spans="1:51" ht="13" customHeight="1">
      <c r="A1031" s="14"/>
      <c r="B1031" s="73"/>
      <c r="C1031" s="367" t="s">
        <v>697</v>
      </c>
      <c r="D1031" s="1528" t="s">
        <v>1876</v>
      </c>
      <c r="E1031" s="1529"/>
      <c r="F1031" s="1529"/>
      <c r="G1031" s="1529"/>
      <c r="H1031" s="1529"/>
      <c r="I1031" s="1529"/>
      <c r="J1031" s="1529"/>
      <c r="K1031" s="1529"/>
      <c r="L1031" s="1529"/>
      <c r="M1031" s="1529"/>
      <c r="N1031" s="1529"/>
      <c r="O1031" s="1529"/>
      <c r="P1031" s="1529"/>
      <c r="Q1031" s="1529"/>
      <c r="R1031" s="1529"/>
      <c r="S1031" s="1529"/>
      <c r="T1031" s="1529"/>
      <c r="U1031" s="1529"/>
      <c r="V1031" s="1529"/>
      <c r="W1031" s="1529"/>
      <c r="X1031" s="1529"/>
      <c r="Y1031" s="1529"/>
      <c r="Z1031" s="1529"/>
      <c r="AA1031" s="1529"/>
      <c r="AB1031" s="1529"/>
      <c r="AC1031" s="1529"/>
      <c r="AD1031" s="1529"/>
      <c r="AE1031" s="1530"/>
      <c r="AF1031" s="79"/>
      <c r="AG1031" s="1536" t="s">
        <v>678</v>
      </c>
      <c r="AH1031" s="1537"/>
      <c r="AI1031" s="87"/>
      <c r="AJ1031" s="1401">
        <f>ROUND(IF(AG1031="yes",(AJ991*0.15),0),0)</f>
        <v>0</v>
      </c>
      <c r="AK1031" s="1402"/>
      <c r="AL1031" s="1402"/>
      <c r="AM1031" s="1402"/>
      <c r="AN1031" s="1402"/>
      <c r="AO1031" s="1402"/>
      <c r="AP1031" s="1402"/>
      <c r="AQ1031" s="1403"/>
      <c r="AR1031" s="68"/>
      <c r="AS1031" s="68"/>
      <c r="AT1031" s="68"/>
      <c r="AU1031" s="68"/>
      <c r="AV1031" s="68"/>
      <c r="AW1031" s="68"/>
      <c r="AX1031" s="68"/>
      <c r="AY1031" s="68"/>
    </row>
    <row r="1032" spans="1:51" ht="13" customHeight="1">
      <c r="A1032" s="14"/>
      <c r="B1032" s="73"/>
      <c r="C1032" s="74"/>
      <c r="D1032" s="1568" t="s">
        <v>1877</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9"/>
      <c r="AF1032" s="950"/>
      <c r="AG1032" s="951"/>
      <c r="AH1032" s="951"/>
      <c r="AI1032" s="952"/>
      <c r="AJ1032" s="1404"/>
      <c r="AK1032" s="1405"/>
      <c r="AL1032" s="1405"/>
      <c r="AM1032" s="1405"/>
      <c r="AN1032" s="1405"/>
      <c r="AO1032" s="1405"/>
      <c r="AP1032" s="1405"/>
      <c r="AQ1032" s="1406"/>
      <c r="AR1032" s="68"/>
      <c r="AS1032" s="68"/>
      <c r="AT1032" s="68"/>
      <c r="AU1032" s="68"/>
      <c r="AV1032" s="68"/>
      <c r="AW1032" s="68"/>
      <c r="AX1032" s="68"/>
      <c r="AY1032" s="68"/>
    </row>
    <row r="1033" spans="1:51" ht="13" customHeight="1">
      <c r="A1033" s="14"/>
      <c r="B1033" s="73"/>
      <c r="C1033" s="74"/>
      <c r="D1033" s="156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9"/>
      <c r="AF1033" s="950"/>
      <c r="AG1033" s="951"/>
      <c r="AH1033" s="951"/>
      <c r="AI1033" s="952"/>
      <c r="AJ1033" s="1404"/>
      <c r="AK1033" s="1405"/>
      <c r="AL1033" s="1405"/>
      <c r="AM1033" s="1405"/>
      <c r="AN1033" s="1405"/>
      <c r="AO1033" s="1405"/>
      <c r="AP1033" s="1405"/>
      <c r="AQ1033" s="1406"/>
      <c r="AR1033" s="68"/>
      <c r="AS1033" s="68"/>
      <c r="AT1033" s="68"/>
      <c r="AU1033" s="68"/>
      <c r="AV1033" s="68"/>
      <c r="AW1033" s="68"/>
      <c r="AX1033" s="68"/>
      <c r="AY1033" s="68"/>
    </row>
    <row r="1034" spans="1:51" ht="13" customHeight="1">
      <c r="A1034" s="14"/>
      <c r="B1034" s="73"/>
      <c r="C1034" s="74"/>
      <c r="D1034" s="1570"/>
      <c r="E1034" s="1571"/>
      <c r="F1034" s="1571"/>
      <c r="G1034" s="1571"/>
      <c r="H1034" s="1571"/>
      <c r="I1034" s="1571"/>
      <c r="J1034" s="1571"/>
      <c r="K1034" s="1571"/>
      <c r="L1034" s="1571"/>
      <c r="M1034" s="1571"/>
      <c r="N1034" s="1571"/>
      <c r="O1034" s="1571"/>
      <c r="P1034" s="1571"/>
      <c r="Q1034" s="1571"/>
      <c r="R1034" s="1571"/>
      <c r="S1034" s="1571"/>
      <c r="T1034" s="1571"/>
      <c r="U1034" s="1571"/>
      <c r="V1034" s="1571"/>
      <c r="W1034" s="1571"/>
      <c r="X1034" s="1571"/>
      <c r="Y1034" s="1571"/>
      <c r="Z1034" s="1571"/>
      <c r="AA1034" s="1571"/>
      <c r="AB1034" s="1571"/>
      <c r="AC1034" s="1571"/>
      <c r="AD1034" s="1571"/>
      <c r="AE1034" s="1572"/>
      <c r="AF1034" s="953"/>
      <c r="AG1034" s="954"/>
      <c r="AH1034" s="954"/>
      <c r="AI1034" s="955"/>
      <c r="AJ1034" s="1407"/>
      <c r="AK1034" s="1408"/>
      <c r="AL1034" s="1408"/>
      <c r="AM1034" s="1408"/>
      <c r="AN1034" s="1408"/>
      <c r="AO1034" s="1408"/>
      <c r="AP1034" s="1408"/>
      <c r="AQ1034" s="1409"/>
      <c r="AR1034" s="68"/>
      <c r="AS1034" s="68"/>
      <c r="AT1034" s="68"/>
      <c r="AU1034" s="68"/>
      <c r="AV1034" s="68"/>
      <c r="AW1034" s="68"/>
      <c r="AX1034" s="68"/>
      <c r="AY1034" s="68"/>
    </row>
    <row r="1035" spans="1:51" ht="13" customHeight="1">
      <c r="A1035" s="14"/>
      <c r="B1035" s="73"/>
      <c r="C1035" s="367" t="s">
        <v>697</v>
      </c>
      <c r="D1035" s="1538" t="s">
        <v>1878</v>
      </c>
      <c r="E1035" s="1539"/>
      <c r="F1035" s="1539"/>
      <c r="G1035" s="1539"/>
      <c r="H1035" s="1539"/>
      <c r="I1035" s="1539"/>
      <c r="J1035" s="1539"/>
      <c r="K1035" s="1539"/>
      <c r="L1035" s="1539"/>
      <c r="M1035" s="1539"/>
      <c r="N1035" s="1539"/>
      <c r="O1035" s="1539"/>
      <c r="P1035" s="1539"/>
      <c r="Q1035" s="1539"/>
      <c r="R1035" s="1539"/>
      <c r="S1035" s="1539"/>
      <c r="T1035" s="1539"/>
      <c r="U1035" s="1539"/>
      <c r="V1035" s="1539"/>
      <c r="W1035" s="1539"/>
      <c r="X1035" s="1539"/>
      <c r="Y1035" s="1539"/>
      <c r="Z1035" s="1539"/>
      <c r="AA1035" s="1539"/>
      <c r="AB1035" s="1539"/>
      <c r="AC1035" s="1539"/>
      <c r="AD1035" s="1539"/>
      <c r="AE1035" s="1540"/>
      <c r="AF1035" s="73"/>
      <c r="AG1035" s="1624" t="s">
        <v>554</v>
      </c>
      <c r="AH1035" s="1625"/>
      <c r="AI1035" s="83"/>
      <c r="AJ1035" s="1401">
        <f>ROUND(IF(AND(AG1035="yes",AJ1031=0),(AJ991*0.1),0),0)</f>
        <v>6321797</v>
      </c>
      <c r="AK1035" s="1402"/>
      <c r="AL1035" s="1402"/>
      <c r="AM1035" s="1402"/>
      <c r="AN1035" s="1402"/>
      <c r="AO1035" s="1402"/>
      <c r="AP1035" s="1402"/>
      <c r="AQ1035" s="1403"/>
      <c r="AR1035" s="68"/>
      <c r="AS1035" s="68"/>
      <c r="AT1035" s="68"/>
      <c r="AU1035" s="68"/>
      <c r="AV1035" s="68"/>
      <c r="AW1035" s="68"/>
      <c r="AX1035" s="68"/>
      <c r="AY1035" s="68"/>
    </row>
    <row r="1036" spans="1:51" ht="13" customHeight="1">
      <c r="A1036" s="14"/>
      <c r="B1036" s="73"/>
      <c r="C1036" s="74"/>
      <c r="D1036" s="1568" t="s">
        <v>1879</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9"/>
      <c r="AF1036" s="73"/>
      <c r="AG1036" s="14"/>
      <c r="AH1036" s="14"/>
      <c r="AI1036" s="83"/>
      <c r="AJ1036" s="1404"/>
      <c r="AK1036" s="1405"/>
      <c r="AL1036" s="1405"/>
      <c r="AM1036" s="1405"/>
      <c r="AN1036" s="1405"/>
      <c r="AO1036" s="1405"/>
      <c r="AP1036" s="1405"/>
      <c r="AQ1036" s="1406"/>
      <c r="AR1036" s="68"/>
      <c r="AS1036" s="68"/>
      <c r="AT1036" s="68"/>
      <c r="AU1036" s="68"/>
      <c r="AV1036" s="68"/>
      <c r="AW1036" s="68"/>
      <c r="AX1036" s="68"/>
      <c r="AY1036" s="68"/>
    </row>
    <row r="1037" spans="1:51" ht="13" customHeight="1">
      <c r="A1037" s="14"/>
      <c r="B1037" s="73"/>
      <c r="C1037" s="74"/>
      <c r="D1037" s="156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9"/>
      <c r="AF1037" s="73"/>
      <c r="AG1037" s="14"/>
      <c r="AH1037" s="14"/>
      <c r="AI1037" s="83"/>
      <c r="AJ1037" s="1404"/>
      <c r="AK1037" s="1405"/>
      <c r="AL1037" s="1405"/>
      <c r="AM1037" s="1405"/>
      <c r="AN1037" s="1405"/>
      <c r="AO1037" s="1405"/>
      <c r="AP1037" s="1405"/>
      <c r="AQ1037" s="1406"/>
      <c r="AR1037" s="68"/>
      <c r="AS1037" s="68"/>
      <c r="AT1037" s="68"/>
      <c r="AU1037" s="68"/>
      <c r="AV1037" s="68"/>
      <c r="AW1037" s="68"/>
      <c r="AX1037" s="68"/>
      <c r="AY1037" s="68"/>
    </row>
    <row r="1038" spans="1:51" ht="13" customHeight="1">
      <c r="A1038" s="14"/>
      <c r="B1038" s="73"/>
      <c r="C1038" s="74"/>
      <c r="D1038" s="156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9"/>
      <c r="AF1038" s="73"/>
      <c r="AG1038" s="14"/>
      <c r="AH1038" s="14"/>
      <c r="AI1038" s="83"/>
      <c r="AJ1038" s="1404"/>
      <c r="AK1038" s="1405"/>
      <c r="AL1038" s="1405"/>
      <c r="AM1038" s="1405"/>
      <c r="AN1038" s="1405"/>
      <c r="AO1038" s="1405"/>
      <c r="AP1038" s="1405"/>
      <c r="AQ1038" s="1406"/>
      <c r="AR1038" s="68"/>
      <c r="AS1038" s="68"/>
      <c r="AT1038" s="68"/>
      <c r="AU1038" s="68"/>
      <c r="AV1038" s="68"/>
      <c r="AW1038" s="68"/>
      <c r="AX1038" s="68"/>
      <c r="AY1038" s="68"/>
    </row>
    <row r="1039" spans="1:51" ht="13" customHeight="1">
      <c r="A1039" s="14"/>
      <c r="B1039" s="73"/>
      <c r="C1039" s="74"/>
      <c r="D1039" s="1570"/>
      <c r="E1039" s="1571"/>
      <c r="F1039" s="1571"/>
      <c r="G1039" s="1571"/>
      <c r="H1039" s="1571"/>
      <c r="I1039" s="1571"/>
      <c r="J1039" s="1571"/>
      <c r="K1039" s="1571"/>
      <c r="L1039" s="1571"/>
      <c r="M1039" s="1571"/>
      <c r="N1039" s="1571"/>
      <c r="O1039" s="1571"/>
      <c r="P1039" s="1571"/>
      <c r="Q1039" s="1571"/>
      <c r="R1039" s="1571"/>
      <c r="S1039" s="1571"/>
      <c r="T1039" s="1571"/>
      <c r="U1039" s="1571"/>
      <c r="V1039" s="1571"/>
      <c r="W1039" s="1571"/>
      <c r="X1039" s="1571"/>
      <c r="Y1039" s="1571"/>
      <c r="Z1039" s="1571"/>
      <c r="AA1039" s="1571"/>
      <c r="AB1039" s="1571"/>
      <c r="AC1039" s="1571"/>
      <c r="AD1039" s="1571"/>
      <c r="AE1039" s="1572"/>
      <c r="AF1039" s="73"/>
      <c r="AG1039" s="14"/>
      <c r="AH1039" s="14"/>
      <c r="AI1039" s="83"/>
      <c r="AJ1039" s="1404"/>
      <c r="AK1039" s="1405"/>
      <c r="AL1039" s="1405"/>
      <c r="AM1039" s="1405"/>
      <c r="AN1039" s="1405"/>
      <c r="AO1039" s="1405"/>
      <c r="AP1039" s="1405"/>
      <c r="AQ1039" s="1406"/>
      <c r="AR1039" s="68"/>
      <c r="AS1039" s="68"/>
      <c r="AT1039" s="68"/>
      <c r="AU1039" s="68"/>
      <c r="AV1039" s="68"/>
      <c r="AW1039" s="68"/>
      <c r="AX1039" s="68"/>
      <c r="AY1039" s="68"/>
    </row>
    <row r="1040" spans="1:51" ht="13" customHeight="1">
      <c r="A1040" s="14"/>
      <c r="B1040" s="79"/>
      <c r="C1040" s="131" t="s">
        <v>1035</v>
      </c>
      <c r="D1040" s="1528" t="s">
        <v>1408</v>
      </c>
      <c r="E1040" s="1529"/>
      <c r="F1040" s="1529"/>
      <c r="G1040" s="1529"/>
      <c r="H1040" s="1529"/>
      <c r="I1040" s="1529"/>
      <c r="J1040" s="1529"/>
      <c r="K1040" s="1529"/>
      <c r="L1040" s="1529"/>
      <c r="M1040" s="1529"/>
      <c r="N1040" s="1529"/>
      <c r="O1040" s="1529"/>
      <c r="P1040" s="1529"/>
      <c r="Q1040" s="1529"/>
      <c r="R1040" s="1529"/>
      <c r="S1040" s="1529"/>
      <c r="T1040" s="1529"/>
      <c r="U1040" s="1529"/>
      <c r="V1040" s="1529"/>
      <c r="W1040" s="1529"/>
      <c r="X1040" s="1529"/>
      <c r="Y1040" s="1529"/>
      <c r="Z1040" s="1529"/>
      <c r="AA1040" s="1529"/>
      <c r="AB1040" s="1529"/>
      <c r="AC1040" s="1529"/>
      <c r="AD1040" s="1529"/>
      <c r="AE1040" s="1530"/>
      <c r="AF1040" s="79"/>
      <c r="AG1040" s="1536" t="s">
        <v>678</v>
      </c>
      <c r="AH1040" s="1537"/>
      <c r="AI1040" s="87"/>
      <c r="AJ1040" s="1401">
        <f>ROUND(IF(AG1040="yes",(AJ991*0.1),0),0)</f>
        <v>0</v>
      </c>
      <c r="AK1040" s="1402"/>
      <c r="AL1040" s="1402"/>
      <c r="AM1040" s="1402"/>
      <c r="AN1040" s="1402"/>
      <c r="AO1040" s="1402"/>
      <c r="AP1040" s="1402"/>
      <c r="AQ1040" s="1403"/>
      <c r="AR1040" s="68"/>
      <c r="AS1040" s="68"/>
      <c r="AT1040" s="68"/>
      <c r="AU1040" s="68"/>
      <c r="AV1040" s="68"/>
      <c r="AW1040" s="68"/>
      <c r="AX1040" s="68"/>
      <c r="AY1040" s="68"/>
    </row>
    <row r="1041" spans="1:51" ht="13" customHeight="1">
      <c r="A1041" s="14"/>
      <c r="B1041" s="73"/>
      <c r="C1041" s="74"/>
      <c r="D1041" s="1516" t="s">
        <v>2504</v>
      </c>
      <c r="E1041" s="1517"/>
      <c r="F1041" s="1517"/>
      <c r="G1041" s="1517"/>
      <c r="H1041" s="1517"/>
      <c r="I1041" s="1517"/>
      <c r="J1041" s="1517"/>
      <c r="K1041" s="1517"/>
      <c r="L1041" s="1517"/>
      <c r="M1041" s="1517"/>
      <c r="N1041" s="1517"/>
      <c r="O1041" s="1517"/>
      <c r="P1041" s="1517"/>
      <c r="Q1041" s="1517"/>
      <c r="R1041" s="1517"/>
      <c r="S1041" s="1517"/>
      <c r="T1041" s="1517"/>
      <c r="U1041" s="1517"/>
      <c r="V1041" s="1517"/>
      <c r="W1041" s="1517"/>
      <c r="X1041" s="1517"/>
      <c r="Y1041" s="1517"/>
      <c r="Z1041" s="1517"/>
      <c r="AA1041" s="1517"/>
      <c r="AB1041" s="1517"/>
      <c r="AC1041" s="1517"/>
      <c r="AD1041" s="1517"/>
      <c r="AE1041" s="1518"/>
      <c r="AF1041" s="73"/>
      <c r="AG1041" s="14"/>
      <c r="AH1041" s="14"/>
      <c r="AI1041" s="83"/>
      <c r="AJ1041" s="1404"/>
      <c r="AK1041" s="1405"/>
      <c r="AL1041" s="1405"/>
      <c r="AM1041" s="1405"/>
      <c r="AN1041" s="1405"/>
      <c r="AO1041" s="1405"/>
      <c r="AP1041" s="1405"/>
      <c r="AQ1041" s="1406"/>
      <c r="AR1041" s="68"/>
      <c r="AS1041" s="68"/>
      <c r="AT1041" s="68"/>
      <c r="AU1041" s="68"/>
      <c r="AV1041" s="68"/>
      <c r="AW1041" s="68"/>
      <c r="AX1041" s="68"/>
      <c r="AY1041" s="68"/>
    </row>
    <row r="1042" spans="1:51" ht="13" customHeight="1">
      <c r="A1042" s="14"/>
      <c r="B1042" s="73"/>
      <c r="C1042" s="74"/>
      <c r="D1042" s="1516"/>
      <c r="E1042" s="1517"/>
      <c r="F1042" s="1517"/>
      <c r="G1042" s="1517"/>
      <c r="H1042" s="1517"/>
      <c r="I1042" s="1517"/>
      <c r="J1042" s="1517"/>
      <c r="K1042" s="1517"/>
      <c r="L1042" s="1517"/>
      <c r="M1042" s="1517"/>
      <c r="N1042" s="1517"/>
      <c r="O1042" s="1517"/>
      <c r="P1042" s="1517"/>
      <c r="Q1042" s="1517"/>
      <c r="R1042" s="1517"/>
      <c r="S1042" s="1517"/>
      <c r="T1042" s="1517"/>
      <c r="U1042" s="1517"/>
      <c r="V1042" s="1517"/>
      <c r="W1042" s="1517"/>
      <c r="X1042" s="1517"/>
      <c r="Y1042" s="1517"/>
      <c r="Z1042" s="1517"/>
      <c r="AA1042" s="1517"/>
      <c r="AB1042" s="1517"/>
      <c r="AC1042" s="1517"/>
      <c r="AD1042" s="1517"/>
      <c r="AE1042" s="1518"/>
      <c r="AF1042" s="73"/>
      <c r="AG1042" s="14"/>
      <c r="AH1042" s="14"/>
      <c r="AI1042" s="83"/>
      <c r="AJ1042" s="1404"/>
      <c r="AK1042" s="1405"/>
      <c r="AL1042" s="1405"/>
      <c r="AM1042" s="1405"/>
      <c r="AN1042" s="1405"/>
      <c r="AO1042" s="1405"/>
      <c r="AP1042" s="1405"/>
      <c r="AQ1042" s="1406"/>
      <c r="AR1042" s="68"/>
      <c r="AS1042" s="68"/>
      <c r="AT1042" s="68"/>
      <c r="AU1042" s="68"/>
      <c r="AV1042" s="68"/>
      <c r="AW1042" s="68"/>
      <c r="AX1042" s="68"/>
      <c r="AY1042" s="68"/>
    </row>
    <row r="1043" spans="1:51" ht="13" customHeight="1">
      <c r="A1043" s="14"/>
      <c r="B1043" s="73"/>
      <c r="C1043" s="74"/>
      <c r="D1043" s="1541"/>
      <c r="E1043" s="1542"/>
      <c r="F1043" s="1542"/>
      <c r="G1043" s="1542"/>
      <c r="H1043" s="1542"/>
      <c r="I1043" s="1542"/>
      <c r="J1043" s="1542"/>
      <c r="K1043" s="1542"/>
      <c r="L1043" s="1542"/>
      <c r="M1043" s="1542"/>
      <c r="N1043" s="1542"/>
      <c r="O1043" s="1542"/>
      <c r="P1043" s="1542"/>
      <c r="Q1043" s="1542"/>
      <c r="R1043" s="1542"/>
      <c r="S1043" s="1542"/>
      <c r="T1043" s="1542"/>
      <c r="U1043" s="1542"/>
      <c r="V1043" s="1542"/>
      <c r="W1043" s="1542"/>
      <c r="X1043" s="1542"/>
      <c r="Y1043" s="1542"/>
      <c r="Z1043" s="1542"/>
      <c r="AA1043" s="1542"/>
      <c r="AB1043" s="1542"/>
      <c r="AC1043" s="1542"/>
      <c r="AD1043" s="1542"/>
      <c r="AE1043" s="1543"/>
      <c r="AF1043" s="73"/>
      <c r="AG1043" s="14"/>
      <c r="AH1043" s="14"/>
      <c r="AI1043" s="83"/>
      <c r="AJ1043" s="1407"/>
      <c r="AK1043" s="1408"/>
      <c r="AL1043" s="1408"/>
      <c r="AM1043" s="1408"/>
      <c r="AN1043" s="1408"/>
      <c r="AO1043" s="1408"/>
      <c r="AP1043" s="1408"/>
      <c r="AQ1043" s="1409"/>
      <c r="AR1043" s="68"/>
      <c r="AS1043" s="68"/>
      <c r="AT1043" s="68"/>
      <c r="AU1043" s="68"/>
      <c r="AV1043" s="68"/>
      <c r="AW1043" s="68"/>
      <c r="AX1043" s="68"/>
      <c r="AY1043" s="68"/>
    </row>
    <row r="1044" spans="1:51" ht="13" customHeight="1">
      <c r="A1044" s="14"/>
      <c r="B1044" s="79"/>
      <c r="C1044" s="131" t="s">
        <v>1874</v>
      </c>
      <c r="D1044" s="1538" t="s">
        <v>2056</v>
      </c>
      <c r="E1044" s="1539"/>
      <c r="F1044" s="1539"/>
      <c r="G1044" s="1539"/>
      <c r="H1044" s="1539"/>
      <c r="I1044" s="1539"/>
      <c r="J1044" s="1539"/>
      <c r="K1044" s="1539"/>
      <c r="L1044" s="1539"/>
      <c r="M1044" s="1539"/>
      <c r="N1044" s="1539"/>
      <c r="O1044" s="1539"/>
      <c r="P1044" s="1539"/>
      <c r="Q1044" s="1539"/>
      <c r="R1044" s="1539"/>
      <c r="S1044" s="1539"/>
      <c r="T1044" s="1539"/>
      <c r="U1044" s="1539"/>
      <c r="V1044" s="1539"/>
      <c r="W1044" s="1539"/>
      <c r="X1044" s="1539"/>
      <c r="Y1044" s="1539"/>
      <c r="Z1044" s="1539"/>
      <c r="AA1044" s="1539"/>
      <c r="AB1044" s="1539"/>
      <c r="AC1044" s="1539"/>
      <c r="AD1044" s="1539"/>
      <c r="AE1044" s="1540"/>
      <c r="AF1044" s="79"/>
      <c r="AG1044" s="1610" t="str">
        <f>IF(X1047&gt;0,"Yes","No")</f>
        <v>Yes</v>
      </c>
      <c r="AH1044" s="1611"/>
      <c r="AI1044" s="87"/>
      <c r="AJ1044" s="1401">
        <f>IF((X1047=0),0,AY1004*AJ991)</f>
        <v>15172312.08</v>
      </c>
      <c r="AK1044" s="1402"/>
      <c r="AL1044" s="1402"/>
      <c r="AM1044" s="1402"/>
      <c r="AN1044" s="1402"/>
      <c r="AO1044" s="1402"/>
      <c r="AP1044" s="1402"/>
      <c r="AQ1044" s="1403"/>
      <c r="AR1044" s="68"/>
      <c r="AS1044" s="68"/>
      <c r="AT1044" s="68"/>
      <c r="AU1044" s="68"/>
      <c r="AV1044" s="68"/>
      <c r="AW1044" s="68"/>
      <c r="AX1044" s="68"/>
      <c r="AY1044" s="68"/>
    </row>
    <row r="1045" spans="1:51" ht="13" customHeight="1">
      <c r="A1045" s="14"/>
      <c r="B1045" s="73"/>
      <c r="C1045" s="476"/>
      <c r="D1045" s="1516" t="s">
        <v>1410</v>
      </c>
      <c r="E1045" s="1517"/>
      <c r="F1045" s="1517"/>
      <c r="G1045" s="1517"/>
      <c r="H1045" s="1517"/>
      <c r="I1045" s="1517"/>
      <c r="J1045" s="1517"/>
      <c r="K1045" s="1517"/>
      <c r="L1045" s="1517"/>
      <c r="M1045" s="1517"/>
      <c r="N1045" s="1517"/>
      <c r="O1045" s="1517"/>
      <c r="P1045" s="1517"/>
      <c r="Q1045" s="1517"/>
      <c r="R1045" s="1517"/>
      <c r="S1045" s="1517"/>
      <c r="T1045" s="1517"/>
      <c r="U1045" s="1517"/>
      <c r="V1045" s="1517"/>
      <c r="W1045" s="1517"/>
      <c r="X1045" s="1517"/>
      <c r="Y1045" s="1517"/>
      <c r="Z1045" s="1517"/>
      <c r="AA1045" s="1517"/>
      <c r="AB1045" s="1517"/>
      <c r="AC1045" s="1517"/>
      <c r="AD1045" s="1517"/>
      <c r="AE1045" s="1518"/>
      <c r="AF1045" s="73"/>
      <c r="AG1045" s="477"/>
      <c r="AH1045" s="477"/>
      <c r="AI1045" s="83"/>
      <c r="AJ1045" s="1404"/>
      <c r="AK1045" s="1405"/>
      <c r="AL1045" s="1405"/>
      <c r="AM1045" s="1405"/>
      <c r="AN1045" s="1405"/>
      <c r="AO1045" s="1405"/>
      <c r="AP1045" s="1405"/>
      <c r="AQ1045" s="1406"/>
      <c r="AR1045" s="68"/>
      <c r="AS1045" s="68"/>
      <c r="AT1045" s="68"/>
      <c r="AU1045" s="13"/>
      <c r="AV1045" s="68"/>
      <c r="AW1045" s="68"/>
      <c r="AX1045" s="68"/>
      <c r="AY1045" s="68"/>
    </row>
    <row r="1046" spans="1:51" ht="13" customHeight="1">
      <c r="A1046" s="14"/>
      <c r="B1046" s="73"/>
      <c r="C1046" s="476"/>
      <c r="D1046" s="1516"/>
      <c r="E1046" s="1517"/>
      <c r="F1046" s="1517"/>
      <c r="G1046" s="1517"/>
      <c r="H1046" s="1517"/>
      <c r="I1046" s="1517"/>
      <c r="J1046" s="1517"/>
      <c r="K1046" s="1517"/>
      <c r="L1046" s="1517"/>
      <c r="M1046" s="1517"/>
      <c r="N1046" s="1517"/>
      <c r="O1046" s="1517"/>
      <c r="P1046" s="1517"/>
      <c r="Q1046" s="1517"/>
      <c r="R1046" s="1517"/>
      <c r="S1046" s="1517"/>
      <c r="T1046" s="1517"/>
      <c r="U1046" s="1517"/>
      <c r="V1046" s="1517"/>
      <c r="W1046" s="1517"/>
      <c r="X1046" s="1517"/>
      <c r="Y1046" s="1517"/>
      <c r="Z1046" s="1517"/>
      <c r="AA1046" s="1517"/>
      <c r="AB1046" s="1517"/>
      <c r="AC1046" s="1517"/>
      <c r="AD1046" s="1517"/>
      <c r="AE1046" s="1518"/>
      <c r="AF1046" s="73"/>
      <c r="AG1046" s="477"/>
      <c r="AH1046" s="477"/>
      <c r="AI1046" s="83"/>
      <c r="AJ1046" s="1404"/>
      <c r="AK1046" s="1405"/>
      <c r="AL1046" s="1405"/>
      <c r="AM1046" s="1405"/>
      <c r="AN1046" s="1405"/>
      <c r="AO1046" s="1405"/>
      <c r="AP1046" s="1405"/>
      <c r="AQ1046" s="1406"/>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622">
        <f>AY1002</f>
        <v>177</v>
      </c>
      <c r="J1047" s="1623"/>
      <c r="K1047" s="7"/>
      <c r="L1047" s="133"/>
      <c r="M1047" s="133"/>
      <c r="N1047" s="133"/>
      <c r="O1047" s="133"/>
      <c r="P1047" s="133"/>
      <c r="Q1047" s="133"/>
      <c r="R1047" s="133"/>
      <c r="S1047" s="133"/>
      <c r="T1047" s="133"/>
      <c r="U1047" s="133"/>
      <c r="V1047" s="134" t="s">
        <v>993</v>
      </c>
      <c r="W1047" s="48"/>
      <c r="X1047" s="1620">
        <f>BG632</f>
        <v>43</v>
      </c>
      <c r="Y1047" s="1621"/>
      <c r="Z1047" s="48"/>
      <c r="AA1047" s="48"/>
      <c r="AB1047" s="48"/>
      <c r="AC1047" s="48"/>
      <c r="AD1047" s="48"/>
      <c r="AE1047" s="49"/>
      <c r="AF1047" s="959"/>
      <c r="AG1047" s="960"/>
      <c r="AH1047" s="960"/>
      <c r="AI1047" s="961"/>
      <c r="AJ1047" s="1407"/>
      <c r="AK1047" s="1408"/>
      <c r="AL1047" s="1408"/>
      <c r="AM1047" s="1408"/>
      <c r="AN1047" s="1408"/>
      <c r="AO1047" s="1408"/>
      <c r="AP1047" s="1408"/>
      <c r="AQ1047" s="1409"/>
      <c r="AR1047" s="68"/>
      <c r="AS1047" s="68"/>
      <c r="AT1047" s="68"/>
      <c r="AU1047" s="14"/>
      <c r="AV1047" s="68"/>
      <c r="AW1047" s="68"/>
      <c r="AX1047" s="68"/>
      <c r="AY1047" s="68"/>
    </row>
    <row r="1048" spans="1:51" ht="13" customHeight="1">
      <c r="A1048" s="14"/>
      <c r="B1048" s="79"/>
      <c r="C1048" s="131" t="s">
        <v>1875</v>
      </c>
      <c r="D1048" s="1528" t="s">
        <v>2533</v>
      </c>
      <c r="E1048" s="1529"/>
      <c r="F1048" s="1529"/>
      <c r="G1048" s="1529"/>
      <c r="H1048" s="1529"/>
      <c r="I1048" s="1529"/>
      <c r="J1048" s="1529"/>
      <c r="K1048" s="1529"/>
      <c r="L1048" s="1529"/>
      <c r="M1048" s="1529"/>
      <c r="N1048" s="1529"/>
      <c r="O1048" s="1529"/>
      <c r="P1048" s="1529"/>
      <c r="Q1048" s="1529"/>
      <c r="R1048" s="1529"/>
      <c r="S1048" s="1529"/>
      <c r="T1048" s="1529"/>
      <c r="U1048" s="1529"/>
      <c r="V1048" s="1529"/>
      <c r="W1048" s="1529"/>
      <c r="X1048" s="1529"/>
      <c r="Y1048" s="1529"/>
      <c r="Z1048" s="1529"/>
      <c r="AA1048" s="1529"/>
      <c r="AB1048" s="1529"/>
      <c r="AC1048" s="1529"/>
      <c r="AD1048" s="1529"/>
      <c r="AE1048" s="1530"/>
      <c r="AF1048" s="73"/>
      <c r="AG1048" s="1610" t="str">
        <f>IF(X1051&gt;0,"Yes","No")</f>
        <v>Yes</v>
      </c>
      <c r="AH1048" s="1611"/>
      <c r="AI1048" s="83"/>
      <c r="AJ1048" s="1401">
        <f>IF((X1051=0),0,(2*AY1005)*AJ991)</f>
        <v>31608983.5</v>
      </c>
      <c r="AK1048" s="1402"/>
      <c r="AL1048" s="1402"/>
      <c r="AM1048" s="1402"/>
      <c r="AN1048" s="1402"/>
      <c r="AO1048" s="1402"/>
      <c r="AP1048" s="1402"/>
      <c r="AQ1048" s="1403"/>
      <c r="AR1048" s="68"/>
      <c r="AS1048" s="68"/>
      <c r="AT1048" s="68"/>
      <c r="AU1048" s="14"/>
      <c r="AV1048" s="68"/>
      <c r="AW1048" s="68"/>
      <c r="AX1048" s="68"/>
      <c r="AY1048" s="68"/>
    </row>
    <row r="1049" spans="1:51" ht="13" customHeight="1">
      <c r="A1049" s="14"/>
      <c r="B1049" s="73"/>
      <c r="C1049" s="476"/>
      <c r="D1049" s="1516" t="s">
        <v>1409</v>
      </c>
      <c r="E1049" s="1517"/>
      <c r="F1049" s="1517"/>
      <c r="G1049" s="1517"/>
      <c r="H1049" s="1517"/>
      <c r="I1049" s="1517"/>
      <c r="J1049" s="1517"/>
      <c r="K1049" s="1517"/>
      <c r="L1049" s="1517"/>
      <c r="M1049" s="1517"/>
      <c r="N1049" s="1517"/>
      <c r="O1049" s="1517"/>
      <c r="P1049" s="1517"/>
      <c r="Q1049" s="1517"/>
      <c r="R1049" s="1517"/>
      <c r="S1049" s="1517"/>
      <c r="T1049" s="1517"/>
      <c r="U1049" s="1517"/>
      <c r="V1049" s="1517"/>
      <c r="W1049" s="1517"/>
      <c r="X1049" s="1517"/>
      <c r="Y1049" s="1517"/>
      <c r="Z1049" s="1517"/>
      <c r="AA1049" s="1517"/>
      <c r="AB1049" s="1517"/>
      <c r="AC1049" s="1517"/>
      <c r="AD1049" s="1517"/>
      <c r="AE1049" s="1518"/>
      <c r="AF1049" s="73"/>
      <c r="AG1049" s="477"/>
      <c r="AH1049" s="477"/>
      <c r="AI1049" s="83"/>
      <c r="AJ1049" s="1404"/>
      <c r="AK1049" s="1405"/>
      <c r="AL1049" s="1405"/>
      <c r="AM1049" s="1405"/>
      <c r="AN1049" s="1405"/>
      <c r="AO1049" s="1405"/>
      <c r="AP1049" s="1405"/>
      <c r="AQ1049" s="1406"/>
      <c r="AR1049" s="68"/>
      <c r="AS1049" s="68"/>
      <c r="AT1049" s="68"/>
      <c r="AU1049" s="68"/>
      <c r="AV1049" s="68"/>
      <c r="AW1049" s="68"/>
      <c r="AX1049" s="68"/>
      <c r="AY1049" s="68"/>
    </row>
    <row r="1050" spans="1:51" ht="13" customHeight="1">
      <c r="A1050" s="14"/>
      <c r="B1050" s="73"/>
      <c r="C1050" s="83"/>
      <c r="D1050" s="1516"/>
      <c r="E1050" s="1517"/>
      <c r="F1050" s="1517"/>
      <c r="G1050" s="1517"/>
      <c r="H1050" s="1517"/>
      <c r="I1050" s="1517"/>
      <c r="J1050" s="1517"/>
      <c r="K1050" s="1517"/>
      <c r="L1050" s="1517"/>
      <c r="M1050" s="1517"/>
      <c r="N1050" s="1517"/>
      <c r="O1050" s="1517"/>
      <c r="P1050" s="1517"/>
      <c r="Q1050" s="1517"/>
      <c r="R1050" s="1517"/>
      <c r="S1050" s="1517"/>
      <c r="T1050" s="1517"/>
      <c r="U1050" s="1517"/>
      <c r="V1050" s="1517"/>
      <c r="W1050" s="1517"/>
      <c r="X1050" s="1517"/>
      <c r="Y1050" s="1517"/>
      <c r="Z1050" s="1517"/>
      <c r="AA1050" s="1517"/>
      <c r="AB1050" s="1517"/>
      <c r="AC1050" s="1517"/>
      <c r="AD1050" s="1517"/>
      <c r="AE1050" s="1518"/>
      <c r="AF1050" s="956"/>
      <c r="AG1050" s="957"/>
      <c r="AH1050" s="957"/>
      <c r="AI1050" s="958"/>
      <c r="AJ1050" s="1404"/>
      <c r="AK1050" s="1405"/>
      <c r="AL1050" s="1405"/>
      <c r="AM1050" s="1405"/>
      <c r="AN1050" s="1405"/>
      <c r="AO1050" s="1405"/>
      <c r="AP1050" s="1405"/>
      <c r="AQ1050" s="1406"/>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622">
        <f>AY1002</f>
        <v>177</v>
      </c>
      <c r="J1051" s="1623"/>
      <c r="K1051" s="14"/>
      <c r="L1051" s="133"/>
      <c r="M1051" s="133"/>
      <c r="N1051" s="133"/>
      <c r="O1051" s="133"/>
      <c r="P1051" s="133"/>
      <c r="Q1051" s="133"/>
      <c r="R1051" s="133"/>
      <c r="S1051" s="133"/>
      <c r="T1051" s="133"/>
      <c r="U1051" s="133"/>
      <c r="V1051" s="134" t="s">
        <v>994</v>
      </c>
      <c r="X1051" s="1620">
        <f>BK632</f>
        <v>45</v>
      </c>
      <c r="Y1051" s="1621"/>
      <c r="AF1051" s="959"/>
      <c r="AG1051" s="960"/>
      <c r="AH1051" s="960"/>
      <c r="AI1051" s="961"/>
      <c r="AJ1051" s="1407"/>
      <c r="AK1051" s="1408"/>
      <c r="AL1051" s="1408"/>
      <c r="AM1051" s="1408"/>
      <c r="AN1051" s="1408"/>
      <c r="AO1051" s="1408"/>
      <c r="AP1051" s="1408"/>
      <c r="AQ1051" s="1409"/>
      <c r="AR1051" s="68"/>
      <c r="AS1051" s="68"/>
      <c r="AT1051" s="68"/>
      <c r="AU1051" s="68"/>
      <c r="AV1051" s="68"/>
      <c r="AW1051" s="68"/>
      <c r="AX1051" s="68"/>
      <c r="AY1051" s="68"/>
    </row>
    <row r="1052" spans="1:51" ht="13" customHeight="1">
      <c r="A1052" s="14"/>
      <c r="B1052" s="102"/>
      <c r="C1052" s="103"/>
      <c r="D1052" s="1618" t="s">
        <v>522</v>
      </c>
      <c r="E1052" s="1618"/>
      <c r="F1052" s="1618"/>
      <c r="G1052" s="1618"/>
      <c r="H1052" s="1618"/>
      <c r="I1052" s="1618"/>
      <c r="J1052" s="1618"/>
      <c r="K1052" s="1618"/>
      <c r="L1052" s="1618"/>
      <c r="M1052" s="1618"/>
      <c r="N1052" s="1618"/>
      <c r="O1052" s="1618"/>
      <c r="P1052" s="1618"/>
      <c r="Q1052" s="1618"/>
      <c r="R1052" s="1618"/>
      <c r="S1052" s="1618"/>
      <c r="T1052" s="1618"/>
      <c r="U1052" s="1618"/>
      <c r="V1052" s="1618"/>
      <c r="W1052" s="1618"/>
      <c r="X1052" s="1618"/>
      <c r="Y1052" s="1618"/>
      <c r="Z1052" s="1618"/>
      <c r="AA1052" s="1618"/>
      <c r="AB1052" s="1618"/>
      <c r="AC1052" s="1618"/>
      <c r="AD1052" s="1618"/>
      <c r="AE1052" s="1618"/>
      <c r="AF1052" s="1618"/>
      <c r="AG1052" s="1618"/>
      <c r="AH1052" s="1618"/>
      <c r="AI1052" s="1619"/>
      <c r="AJ1052" s="1607">
        <f>SUM(AJ991:AQ1051)</f>
        <v>122642856.58</v>
      </c>
      <c r="AK1052" s="1608"/>
      <c r="AL1052" s="1608"/>
      <c r="AM1052" s="1608"/>
      <c r="AN1052" s="1608"/>
      <c r="AO1052" s="1608"/>
      <c r="AP1052" s="1608"/>
      <c r="AQ1052" s="1609"/>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393">
        <f>IF(ISNA(IF((AJ1019&gt;(AJ991*0.15)),"(f) cannot be greater than 15% of unadjusted eligible basis.",0)),"",(IF((AJ1019&gt;(AJ991*0.15)),"(f) cannot be greater than 15% of unadjusted eligible basis.",0)))</f>
        <v>0</v>
      </c>
      <c r="C1059" s="1393"/>
      <c r="D1059" s="1393"/>
      <c r="E1059" s="1393"/>
      <c r="F1059" s="1393"/>
      <c r="G1059" s="1393"/>
      <c r="H1059" s="1393"/>
      <c r="I1059" s="1393"/>
      <c r="J1059" s="1393"/>
      <c r="K1059" s="1393"/>
      <c r="L1059" s="1393"/>
      <c r="M1059" s="1393"/>
      <c r="N1059" s="1393"/>
      <c r="O1059" s="1393"/>
      <c r="P1059" s="1393"/>
      <c r="Q1059" s="1393"/>
      <c r="R1059" s="1393"/>
      <c r="S1059" s="1393"/>
      <c r="T1059" s="1393"/>
      <c r="U1059" s="1393"/>
      <c r="V1059" s="1393"/>
      <c r="W1059" s="1393"/>
      <c r="X1059" s="1393"/>
      <c r="Y1059" s="1393"/>
      <c r="Z1059" s="1393"/>
      <c r="AA1059" s="1393"/>
      <c r="AB1059" s="1393"/>
      <c r="AC1059" s="1393"/>
      <c r="AD1059" s="1393"/>
      <c r="AE1059" s="1393"/>
      <c r="AF1059" s="1393"/>
      <c r="AG1059" s="1393"/>
      <c r="AH1059" s="1393"/>
      <c r="AI1059" s="1393"/>
      <c r="AJ1059" s="1393"/>
      <c r="AK1059" s="1393"/>
      <c r="AL1059" s="1393"/>
      <c r="AM1059" s="1393"/>
      <c r="AN1059" s="1393"/>
      <c r="AO1059" s="1393"/>
      <c r="AP1059" s="1393"/>
      <c r="AQ1059" s="68"/>
      <c r="AR1059" s="68"/>
      <c r="AS1059" s="68"/>
      <c r="AT1059" s="68"/>
      <c r="AU1059" s="68"/>
      <c r="AV1059" s="68"/>
      <c r="AW1059" s="68"/>
      <c r="AX1059" s="68"/>
      <c r="AY1059" s="68"/>
    </row>
    <row r="1060" spans="1:51" ht="13"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29" t="s">
        <v>600</v>
      </c>
      <c r="B1064" s="142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429" t="s">
        <v>600</v>
      </c>
      <c r="B1070" s="142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429" t="s">
        <v>600</v>
      </c>
      <c r="B1076" s="1429"/>
      <c r="C1076" s="8">
        <v>3</v>
      </c>
      <c r="D1076" s="1266" t="s">
        <v>2458</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429" t="s">
        <v>600</v>
      </c>
      <c r="B1083" s="142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429" t="s">
        <v>600</v>
      </c>
      <c r="B1086" s="1429"/>
      <c r="C1086" s="8">
        <v>5</v>
      </c>
      <c r="D1086" s="1266" t="s">
        <v>2459</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429" t="s">
        <v>600</v>
      </c>
      <c r="B1091" s="142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429" t="s">
        <v>600</v>
      </c>
      <c r="B1094" s="142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429" t="s">
        <v>600</v>
      </c>
      <c r="B1098" s="1429"/>
      <c r="C1098" s="212">
        <v>8</v>
      </c>
      <c r="D1098" s="1326" t="s">
        <v>1872</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3"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3"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429" t="s">
        <v>600</v>
      </c>
      <c r="B1103" s="142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B720:F720"/>
    <mergeCell ref="B722:F722"/>
    <mergeCell ref="T714:W717"/>
    <mergeCell ref="O719:S719"/>
    <mergeCell ref="X724:AB724"/>
    <mergeCell ref="AH722:AJ722"/>
    <mergeCell ref="B723:F723"/>
    <mergeCell ref="B721:F721"/>
    <mergeCell ref="B727:F727"/>
    <mergeCell ref="T725:W725"/>
    <mergeCell ref="K718:N718"/>
    <mergeCell ref="K719:N719"/>
    <mergeCell ref="G718:J718"/>
    <mergeCell ref="AH719:AJ719"/>
    <mergeCell ref="B725:F725"/>
    <mergeCell ref="O725:S725"/>
    <mergeCell ref="O726:S726"/>
    <mergeCell ref="B714:F717"/>
    <mergeCell ref="O724:S724"/>
    <mergeCell ref="G724:J724"/>
    <mergeCell ref="AH724:AJ724"/>
    <mergeCell ref="K724:N724"/>
    <mergeCell ref="G727:J727"/>
    <mergeCell ref="DX629:EB629"/>
    <mergeCell ref="EC629:EG629"/>
    <mergeCell ref="EH629:EL629"/>
    <mergeCell ref="EM629:EQ629"/>
    <mergeCell ref="EM659:EQ659"/>
    <mergeCell ref="ER659:EV659"/>
    <mergeCell ref="EW659:FA659"/>
    <mergeCell ref="DX660:EB660"/>
    <mergeCell ref="EC660:EG660"/>
    <mergeCell ref="EH660:EL660"/>
    <mergeCell ref="EM660:EQ660"/>
    <mergeCell ref="EC659:EG659"/>
    <mergeCell ref="EH659:EL659"/>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36:FA636"/>
    <mergeCell ref="EW644:FA644"/>
    <mergeCell ref="EC641:EG641"/>
    <mergeCell ref="EC643:EG643"/>
    <mergeCell ref="EH643:EL643"/>
    <mergeCell ref="EM643:EQ643"/>
    <mergeCell ref="EC648:EG648"/>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EW626:FA626"/>
    <mergeCell ref="DC624:DG624"/>
    <mergeCell ref="DH624:DL624"/>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0:EB620"/>
    <mergeCell ref="EC620:EG620"/>
    <mergeCell ref="EH620:EL620"/>
    <mergeCell ref="DX624:EB624"/>
    <mergeCell ref="DR620:DV620"/>
    <mergeCell ref="DC620:DG620"/>
    <mergeCell ref="DH620:DL620"/>
    <mergeCell ref="DM620:DQ620"/>
    <mergeCell ref="DM624:DQ624"/>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BG629:BH629"/>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BK622:BL622"/>
    <mergeCell ref="BN624:BR624"/>
    <mergeCell ref="BS624:BW624"/>
    <mergeCell ref="BI625:BJ625"/>
    <mergeCell ref="BI622:BJ622"/>
    <mergeCell ref="CM624:CQ624"/>
    <mergeCell ref="BX621:CB621"/>
    <mergeCell ref="CC621:CG621"/>
    <mergeCell ref="CH621:CL621"/>
    <mergeCell ref="CM621:CQ621"/>
    <mergeCell ref="BN622:BR622"/>
    <mergeCell ref="BS622:BW622"/>
    <mergeCell ref="BX622:CB622"/>
    <mergeCell ref="CC622:CG622"/>
    <mergeCell ref="CH622:CL622"/>
    <mergeCell ref="CM622:CQ622"/>
    <mergeCell ref="CM623:CQ623"/>
    <mergeCell ref="BK624:BL624"/>
    <mergeCell ref="BE625:BF625"/>
    <mergeCell ref="BG625:BH625"/>
    <mergeCell ref="BN625:BR625"/>
    <mergeCell ref="BS625:BW625"/>
    <mergeCell ref="BX625:CB625"/>
    <mergeCell ref="CC623:CG623"/>
    <mergeCell ref="BE621:BF621"/>
    <mergeCell ref="BG621:BH621"/>
    <mergeCell ref="BE623:BF623"/>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4:F724"/>
    <mergeCell ref="B728:F728"/>
    <mergeCell ref="X728:AB728"/>
    <mergeCell ref="AC512:AF512"/>
    <mergeCell ref="AH512:AK512"/>
    <mergeCell ref="AC454:AF454"/>
    <mergeCell ref="D442:AF442"/>
    <mergeCell ref="AH521:AK521"/>
    <mergeCell ref="AH540:AK540"/>
    <mergeCell ref="AC515:AF515"/>
    <mergeCell ref="AC514:AF514"/>
    <mergeCell ref="B551:L553"/>
    <mergeCell ref="AH506:AK506"/>
    <mergeCell ref="AC541:AF541"/>
    <mergeCell ref="B489:P490"/>
    <mergeCell ref="AC506:AF506"/>
    <mergeCell ref="Q489:R490"/>
    <mergeCell ref="Q488:AK488"/>
    <mergeCell ref="Q493:AK493"/>
    <mergeCell ref="AC502:AF502"/>
    <mergeCell ref="AH519:AK519"/>
    <mergeCell ref="AH536:AK536"/>
    <mergeCell ref="AH528:AK528"/>
    <mergeCell ref="AH505:AK505"/>
    <mergeCell ref="S489:AK490"/>
    <mergeCell ref="Q491:AK491"/>
    <mergeCell ref="AH495:AK495"/>
    <mergeCell ref="Q494:AK494"/>
    <mergeCell ref="AC508:AF508"/>
    <mergeCell ref="AC505:AF505"/>
    <mergeCell ref="AH510:AK510"/>
    <mergeCell ref="B517:H519"/>
    <mergeCell ref="AM554:AS554"/>
    <mergeCell ref="M495:P495"/>
    <mergeCell ref="AC501:AF501"/>
    <mergeCell ref="AH526:AK526"/>
    <mergeCell ref="AC518:AF518"/>
    <mergeCell ref="AC513:AF513"/>
    <mergeCell ref="AC528:AF528"/>
    <mergeCell ref="W471:Y471"/>
    <mergeCell ref="AH538:AK538"/>
    <mergeCell ref="Z551:AD553"/>
    <mergeCell ref="AH513:AK513"/>
    <mergeCell ref="AH524:AK524"/>
    <mergeCell ref="AH525:AK525"/>
    <mergeCell ref="AC539:AF539"/>
    <mergeCell ref="AC523:AF523"/>
    <mergeCell ref="AC510:AF510"/>
    <mergeCell ref="AC504:AF504"/>
    <mergeCell ref="W473:Y473"/>
    <mergeCell ref="D473:V473"/>
    <mergeCell ref="AC530:AF530"/>
    <mergeCell ref="O526:AA526"/>
    <mergeCell ref="AC529:AF529"/>
    <mergeCell ref="AH530:AK530"/>
    <mergeCell ref="Q554:S554"/>
    <mergeCell ref="L508:AB508"/>
    <mergeCell ref="AH542:AK542"/>
    <mergeCell ref="AC542:AF542"/>
    <mergeCell ref="AC517:AF517"/>
    <mergeCell ref="AH501:AK501"/>
    <mergeCell ref="AC531:AF531"/>
    <mergeCell ref="AH500:AK500"/>
    <mergeCell ref="M554:P554"/>
    <mergeCell ref="D471:V471"/>
    <mergeCell ref="AH522:AK522"/>
    <mergeCell ref="AG439:AJ439"/>
    <mergeCell ref="AG443:AJ443"/>
    <mergeCell ref="AG444:AJ444"/>
    <mergeCell ref="AE424:AF424"/>
    <mergeCell ref="AG449:AJ449"/>
    <mergeCell ref="D469:V469"/>
    <mergeCell ref="D468:V468"/>
    <mergeCell ref="AF430:AG430"/>
    <mergeCell ref="AG447:AJ447"/>
    <mergeCell ref="D465:V465"/>
    <mergeCell ref="D449:AF449"/>
    <mergeCell ref="S402:U402"/>
    <mergeCell ref="P425:Q425"/>
    <mergeCell ref="I418:K418"/>
    <mergeCell ref="S413:T413"/>
    <mergeCell ref="K403:AJ403"/>
    <mergeCell ref="G474:V474"/>
    <mergeCell ref="W474:Y474"/>
    <mergeCell ref="AC456:AF456"/>
    <mergeCell ref="AG450:AJ450"/>
    <mergeCell ref="AC455:AF455"/>
    <mergeCell ref="F457:AB458"/>
    <mergeCell ref="AH509:AK509"/>
    <mergeCell ref="AC503:AF503"/>
    <mergeCell ref="W467:Y467"/>
    <mergeCell ref="B501:H502"/>
    <mergeCell ref="AC519:AF519"/>
    <mergeCell ref="AH508:AK508"/>
    <mergeCell ref="AH504:AK504"/>
    <mergeCell ref="AH507:AK507"/>
    <mergeCell ref="W470:Y470"/>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G438:AJ438"/>
    <mergeCell ref="S401:U401"/>
    <mergeCell ref="AG393:AJ393"/>
    <mergeCell ref="AG391:AJ391"/>
    <mergeCell ref="K404:AJ404"/>
    <mergeCell ref="AC386:AJ386"/>
    <mergeCell ref="Q393:U393"/>
    <mergeCell ref="AG380:AH380"/>
    <mergeCell ref="AE402:AJ402"/>
    <mergeCell ref="AC385:AJ385"/>
    <mergeCell ref="S405:AJ405"/>
    <mergeCell ref="M356:N356"/>
    <mergeCell ref="D441:AF441"/>
    <mergeCell ref="AG437:AJ437"/>
    <mergeCell ref="I410:AE410"/>
    <mergeCell ref="J387:U387"/>
    <mergeCell ref="E420:AJ420"/>
    <mergeCell ref="AG395:AJ395"/>
    <mergeCell ref="N371:Q371"/>
    <mergeCell ref="V382:W382"/>
    <mergeCell ref="Y364:Z364"/>
    <mergeCell ref="N378:P378"/>
    <mergeCell ref="AG401:AJ401"/>
    <mergeCell ref="D445:AF445"/>
    <mergeCell ref="D446:AF446"/>
    <mergeCell ref="D447:AF447"/>
    <mergeCell ref="J388:U388"/>
    <mergeCell ref="D467:V467"/>
    <mergeCell ref="AG441:AJ441"/>
    <mergeCell ref="AI397:AJ397"/>
    <mergeCell ref="T399:AJ399"/>
    <mergeCell ref="T398:AJ398"/>
    <mergeCell ref="AG440:AJ440"/>
    <mergeCell ref="AC387:AJ387"/>
    <mergeCell ref="V388:AJ388"/>
    <mergeCell ref="D443:AF443"/>
    <mergeCell ref="R412:S412"/>
    <mergeCell ref="Q429:R429"/>
    <mergeCell ref="D448:AF448"/>
    <mergeCell ref="AG445:AJ445"/>
    <mergeCell ref="W466:Y466"/>
    <mergeCell ref="D466:V466"/>
    <mergeCell ref="AG394:AJ394"/>
    <mergeCell ref="D450:AF450"/>
    <mergeCell ref="D451:AJ452"/>
    <mergeCell ref="D444:AF444"/>
    <mergeCell ref="AG448:AJ448"/>
    <mergeCell ref="D406:AJ407"/>
    <mergeCell ref="AI392:AJ392"/>
    <mergeCell ref="P655:R655"/>
    <mergeCell ref="H664:R664"/>
    <mergeCell ref="G723:J723"/>
    <mergeCell ref="G675:R675"/>
    <mergeCell ref="Z654:AK654"/>
    <mergeCell ref="BS597:BW597"/>
    <mergeCell ref="P605:R605"/>
    <mergeCell ref="AG583:AH583"/>
    <mergeCell ref="BE601:BF601"/>
    <mergeCell ref="BE598:BF598"/>
    <mergeCell ref="BK601:BL601"/>
    <mergeCell ref="AF574:AK574"/>
    <mergeCell ref="Z585:AK585"/>
    <mergeCell ref="BG600:BH600"/>
    <mergeCell ref="BG596:BH596"/>
    <mergeCell ref="M560:P560"/>
    <mergeCell ref="Q563:S563"/>
    <mergeCell ref="AI565:AL565"/>
    <mergeCell ref="N583:O583"/>
    <mergeCell ref="AE562:AH562"/>
    <mergeCell ref="BN597:BR597"/>
    <mergeCell ref="BG597:BH597"/>
    <mergeCell ref="BI597:BJ597"/>
    <mergeCell ref="BK596:BL596"/>
    <mergeCell ref="BN596:BR596"/>
    <mergeCell ref="Q562:S562"/>
    <mergeCell ref="BI629:BJ629"/>
    <mergeCell ref="BK629:BL629"/>
    <mergeCell ref="BE626:BF626"/>
    <mergeCell ref="BG626:BH626"/>
    <mergeCell ref="BI626:BJ626"/>
    <mergeCell ref="BK626:BL626"/>
    <mergeCell ref="BN655:BR655"/>
    <mergeCell ref="AI679:AK679"/>
    <mergeCell ref="Z663:AE663"/>
    <mergeCell ref="G721:J721"/>
    <mergeCell ref="G722:J722"/>
    <mergeCell ref="O714:S717"/>
    <mergeCell ref="BN612:BR612"/>
    <mergeCell ref="BI614:BJ614"/>
    <mergeCell ref="BS623:BW623"/>
    <mergeCell ref="BX623:CB623"/>
    <mergeCell ref="BG623:BH623"/>
    <mergeCell ref="BE609:BF609"/>
    <mergeCell ref="BE607:BF607"/>
    <mergeCell ref="BE608:BF608"/>
    <mergeCell ref="BE610:BF610"/>
    <mergeCell ref="BE613:BF613"/>
    <mergeCell ref="BE617:BF617"/>
    <mergeCell ref="BI618:BJ618"/>
    <mergeCell ref="AC630:AE630"/>
    <mergeCell ref="AC631:AE631"/>
    <mergeCell ref="AC632:AE632"/>
    <mergeCell ref="Z646:AK646"/>
    <mergeCell ref="Z671:AE671"/>
    <mergeCell ref="Z668:AK668"/>
    <mergeCell ref="BS640:BW640"/>
    <mergeCell ref="BN629:BR629"/>
    <mergeCell ref="BS629:BW629"/>
    <mergeCell ref="BX629:CB629"/>
    <mergeCell ref="BX639:CB639"/>
    <mergeCell ref="BX640:CB640"/>
    <mergeCell ref="Z633:AB633"/>
    <mergeCell ref="Z643:AK643"/>
    <mergeCell ref="BI630:BJ630"/>
    <mergeCell ref="BX608:CB608"/>
    <mergeCell ref="BE612:BF612"/>
    <mergeCell ref="BX611:CB611"/>
    <mergeCell ref="BX614:CB614"/>
    <mergeCell ref="BS613:BW613"/>
    <mergeCell ref="BI611:BJ611"/>
    <mergeCell ref="CC597:CG597"/>
    <mergeCell ref="BX596:CB596"/>
    <mergeCell ref="BG601:BH601"/>
    <mergeCell ref="BS619:BW619"/>
    <mergeCell ref="BG618:BH618"/>
    <mergeCell ref="BN620:BR620"/>
    <mergeCell ref="BX602:CB602"/>
    <mergeCell ref="BX609:CB609"/>
    <mergeCell ref="BI609:BJ609"/>
    <mergeCell ref="BX606:CB606"/>
    <mergeCell ref="CC610:CG610"/>
    <mergeCell ref="CC607:CG607"/>
    <mergeCell ref="BS608:BW608"/>
    <mergeCell ref="BN608:BR608"/>
    <mergeCell ref="BI604:BJ604"/>
    <mergeCell ref="BN602:BR602"/>
    <mergeCell ref="BI621:BJ621"/>
    <mergeCell ref="BG599:BH599"/>
    <mergeCell ref="BX607:CB607"/>
    <mergeCell ref="BS598:BW598"/>
    <mergeCell ref="BS599:BW599"/>
    <mergeCell ref="BN621:BR621"/>
    <mergeCell ref="BN627:BR627"/>
    <mergeCell ref="BS627:BW627"/>
    <mergeCell ref="BE629:BF629"/>
    <mergeCell ref="AA606:AK606"/>
    <mergeCell ref="CC606:CG606"/>
    <mergeCell ref="CC598:CG598"/>
    <mergeCell ref="BS604:BW604"/>
    <mergeCell ref="CC605:CG605"/>
    <mergeCell ref="BS602:BW602"/>
    <mergeCell ref="BS609:BW609"/>
    <mergeCell ref="BI607:BJ607"/>
    <mergeCell ref="BG604:BH604"/>
    <mergeCell ref="BX610:CB610"/>
    <mergeCell ref="BI610:BJ610"/>
    <mergeCell ref="BI599:BJ599"/>
    <mergeCell ref="BX604:CB604"/>
    <mergeCell ref="BX599:CB599"/>
    <mergeCell ref="CC600:CG600"/>
    <mergeCell ref="BN601:BR601"/>
    <mergeCell ref="BK610:BL610"/>
    <mergeCell ref="BK607:BL607"/>
    <mergeCell ref="BN607:BR607"/>
    <mergeCell ref="BS607:BW607"/>
    <mergeCell ref="BN609:BR609"/>
    <mergeCell ref="BN610:BR610"/>
    <mergeCell ref="BI602:BJ602"/>
    <mergeCell ref="BI598:BJ598"/>
    <mergeCell ref="BK599:BL599"/>
    <mergeCell ref="BN599:BR599"/>
    <mergeCell ref="BI603:BJ603"/>
    <mergeCell ref="BI606:BJ606"/>
    <mergeCell ref="BG598:BH598"/>
    <mergeCell ref="BK597:BL597"/>
    <mergeCell ref="G605:L605"/>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G603:BH603"/>
    <mergeCell ref="BS605:BW605"/>
    <mergeCell ref="BX605:CB605"/>
    <mergeCell ref="BI601:BJ601"/>
    <mergeCell ref="BI600:BJ600"/>
    <mergeCell ref="BN603:BR603"/>
    <mergeCell ref="BN600:BR600"/>
    <mergeCell ref="BK603:BL603"/>
    <mergeCell ref="BK605:BL605"/>
    <mergeCell ref="BK598:BL598"/>
    <mergeCell ref="CC601:CG601"/>
    <mergeCell ref="CC602:CG602"/>
    <mergeCell ref="CH599:CL599"/>
    <mergeCell ref="BI605:BJ605"/>
    <mergeCell ref="BX603:CB603"/>
    <mergeCell ref="Q564:S564"/>
    <mergeCell ref="C554:L554"/>
    <mergeCell ref="C555:L555"/>
    <mergeCell ref="B514:H516"/>
    <mergeCell ref="AC522:AF522"/>
    <mergeCell ref="G602:R602"/>
    <mergeCell ref="N599:O599"/>
    <mergeCell ref="AA598:AK598"/>
    <mergeCell ref="Z587:AK587"/>
    <mergeCell ref="BE604:BF604"/>
    <mergeCell ref="BE606:BF606"/>
    <mergeCell ref="BE597:BF597"/>
    <mergeCell ref="N591:O591"/>
    <mergeCell ref="AA590:AK590"/>
    <mergeCell ref="BG606:BH606"/>
    <mergeCell ref="AI589:AK589"/>
    <mergeCell ref="Z596:AK596"/>
    <mergeCell ref="H598:R598"/>
    <mergeCell ref="G597:L597"/>
    <mergeCell ref="AG591:AH591"/>
    <mergeCell ref="G588:R588"/>
    <mergeCell ref="BE605:BF605"/>
    <mergeCell ref="BE603:BF603"/>
    <mergeCell ref="BE600:BF600"/>
    <mergeCell ref="G604:R604"/>
    <mergeCell ref="AH537:AK537"/>
    <mergeCell ref="AC534:AF534"/>
    <mergeCell ref="Q556:S556"/>
    <mergeCell ref="BG605:BH605"/>
    <mergeCell ref="BK600:BL600"/>
    <mergeCell ref="AI557:AL557"/>
    <mergeCell ref="Z555:AD555"/>
    <mergeCell ref="AM557:AS557"/>
    <mergeCell ref="AE557:AH557"/>
    <mergeCell ref="AC538:AF538"/>
    <mergeCell ref="M561:P561"/>
    <mergeCell ref="AC540:AF540"/>
    <mergeCell ref="M557:P557"/>
    <mergeCell ref="AH515:AK515"/>
    <mergeCell ref="AC516:AF516"/>
    <mergeCell ref="AC521:AF521"/>
    <mergeCell ref="Q558:S558"/>
    <mergeCell ref="M551:P553"/>
    <mergeCell ref="Q551:S553"/>
    <mergeCell ref="T551:V553"/>
    <mergeCell ref="W551:Y553"/>
    <mergeCell ref="AI558:AL558"/>
    <mergeCell ref="AC526:AF526"/>
    <mergeCell ref="AH531:AK531"/>
    <mergeCell ref="AH516:AK516"/>
    <mergeCell ref="AH529:AK529"/>
    <mergeCell ref="AH534:AK534"/>
    <mergeCell ref="AE561:AH561"/>
    <mergeCell ref="T557:V557"/>
    <mergeCell ref="Q557:S557"/>
    <mergeCell ref="Z557:AD557"/>
    <mergeCell ref="AH532:AK532"/>
    <mergeCell ref="O523:AA523"/>
    <mergeCell ref="AC532:AF532"/>
    <mergeCell ref="AH517:AK517"/>
    <mergeCell ref="AC524:AF524"/>
    <mergeCell ref="AM555:AS555"/>
    <mergeCell ref="H287:R287"/>
    <mergeCell ref="U255:W255"/>
    <mergeCell ref="P299:R299"/>
    <mergeCell ref="H293:R293"/>
    <mergeCell ref="M264:AE264"/>
    <mergeCell ref="H339:M339"/>
    <mergeCell ref="AA317:AK317"/>
    <mergeCell ref="L280:AD280"/>
    <mergeCell ref="L275:AD275"/>
    <mergeCell ref="H290:R290"/>
    <mergeCell ref="AA333:AK333"/>
    <mergeCell ref="H336:R336"/>
    <mergeCell ref="AA336:AK336"/>
    <mergeCell ref="H333:R333"/>
    <mergeCell ref="AF259:AK259"/>
    <mergeCell ref="AC261:AE261"/>
    <mergeCell ref="AA327:AK327"/>
    <mergeCell ref="H332:M332"/>
    <mergeCell ref="H335:R335"/>
    <mergeCell ref="AI315:AK315"/>
    <mergeCell ref="AA329:AK329"/>
    <mergeCell ref="P331:R331"/>
    <mergeCell ref="AA324:AF324"/>
    <mergeCell ref="H328:R328"/>
    <mergeCell ref="AA332:AF332"/>
    <mergeCell ref="AA328:AK328"/>
    <mergeCell ref="V276:W276"/>
    <mergeCell ref="AI323:AK323"/>
    <mergeCell ref="AA320:AK320"/>
    <mergeCell ref="AA337:AK337"/>
    <mergeCell ref="H327:R327"/>
    <mergeCell ref="H338:R338"/>
    <mergeCell ref="Z255:AE255"/>
    <mergeCell ref="M255:R255"/>
    <mergeCell ref="M253:T253"/>
    <mergeCell ref="M262:AE262"/>
    <mergeCell ref="AA299:AF299"/>
    <mergeCell ref="AA287:AK287"/>
    <mergeCell ref="T267:X267"/>
    <mergeCell ref="P291:R291"/>
    <mergeCell ref="L274:AJ274"/>
    <mergeCell ref="AA307:AF307"/>
    <mergeCell ref="H313:R313"/>
    <mergeCell ref="H289:R289"/>
    <mergeCell ref="H291:M291"/>
    <mergeCell ref="H299:M299"/>
    <mergeCell ref="H300:M300"/>
    <mergeCell ref="AA257:AK257"/>
    <mergeCell ref="M260:AE260"/>
    <mergeCell ref="AA265:AK265"/>
    <mergeCell ref="H295:R295"/>
    <mergeCell ref="H304:R304"/>
    <mergeCell ref="H303:R303"/>
    <mergeCell ref="AA308:AF308"/>
    <mergeCell ref="AA305:AK305"/>
    <mergeCell ref="M261:T261"/>
    <mergeCell ref="AH262:AK262"/>
    <mergeCell ref="AA311:AK311"/>
    <mergeCell ref="AA306:AK306"/>
    <mergeCell ref="AA312:AK312"/>
    <mergeCell ref="AA298:AK298"/>
    <mergeCell ref="D270:H270"/>
    <mergeCell ref="X270:AC270"/>
    <mergeCell ref="Z263:AE263"/>
    <mergeCell ref="A86:AT87"/>
    <mergeCell ref="A89:AT90"/>
    <mergeCell ref="A92:AT98"/>
    <mergeCell ref="A100:AT103"/>
    <mergeCell ref="I184:AE184"/>
    <mergeCell ref="X176:Y176"/>
    <mergeCell ref="X180:Y180"/>
    <mergeCell ref="AP205:AQ205"/>
    <mergeCell ref="A75:AT77"/>
    <mergeCell ref="A79:AT81"/>
    <mergeCell ref="W253:X253"/>
    <mergeCell ref="M251:AE251"/>
    <mergeCell ref="AA249:AK249"/>
    <mergeCell ref="AB215:AL215"/>
    <mergeCell ref="T198:U198"/>
    <mergeCell ref="Y212:Z212"/>
    <mergeCell ref="D214:Z214"/>
    <mergeCell ref="AB216:AL216"/>
    <mergeCell ref="AH246:AK246"/>
    <mergeCell ref="AF251:AK251"/>
    <mergeCell ref="I190:N190"/>
    <mergeCell ref="M247:R247"/>
    <mergeCell ref="M245:T245"/>
    <mergeCell ref="D208:M208"/>
    <mergeCell ref="Y117:AK117"/>
    <mergeCell ref="T190:AE190"/>
    <mergeCell ref="M232:AK232"/>
    <mergeCell ref="AC253:AE253"/>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M243:AE243"/>
    <mergeCell ref="M244:AE244"/>
    <mergeCell ref="AB212:AC212"/>
    <mergeCell ref="AF243:AK243"/>
    <mergeCell ref="T196:U196"/>
    <mergeCell ref="D220:Z220"/>
    <mergeCell ref="T193:AI193"/>
    <mergeCell ref="A222:AT223"/>
    <mergeCell ref="Y123:AK123"/>
    <mergeCell ref="AC245:AE245"/>
    <mergeCell ref="M246:AE246"/>
    <mergeCell ref="AA238:AK238"/>
    <mergeCell ref="AI178:AK178"/>
    <mergeCell ref="M234:T234"/>
    <mergeCell ref="W234:X234"/>
    <mergeCell ref="W261:X261"/>
    <mergeCell ref="U263:W263"/>
    <mergeCell ref="M257:T257"/>
    <mergeCell ref="M256:AE256"/>
    <mergeCell ref="AA300:AF300"/>
    <mergeCell ref="H306:R306"/>
    <mergeCell ref="G113:H113"/>
    <mergeCell ref="Y120:AK120"/>
    <mergeCell ref="C115:K115"/>
    <mergeCell ref="O160:T160"/>
    <mergeCell ref="O161:AH161"/>
    <mergeCell ref="D164:AH164"/>
    <mergeCell ref="M249:T249"/>
    <mergeCell ref="AA304:AK304"/>
    <mergeCell ref="P204:U204"/>
    <mergeCell ref="AH195:AI195"/>
    <mergeCell ref="AH196:AI196"/>
    <mergeCell ref="U176:V176"/>
    <mergeCell ref="AH194:AI194"/>
    <mergeCell ref="M252:AE252"/>
    <mergeCell ref="AA291:AF291"/>
    <mergeCell ref="AI291:AK291"/>
    <mergeCell ref="M259:AE259"/>
    <mergeCell ref="AI299:AK299"/>
    <mergeCell ref="H297:R297"/>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M236:R236"/>
    <mergeCell ref="Z236:AE236"/>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D204:M204"/>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293:AK293"/>
    <mergeCell ref="AA301:AK301"/>
    <mergeCell ref="H301:R301"/>
    <mergeCell ref="AA292:AF292"/>
    <mergeCell ref="AB276:AD276"/>
    <mergeCell ref="Y278:AD278"/>
    <mergeCell ref="AA295:AK295"/>
    <mergeCell ref="AA303:AK303"/>
    <mergeCell ref="L277:AD277"/>
    <mergeCell ref="T278:V278"/>
    <mergeCell ref="H311:R311"/>
    <mergeCell ref="H308:M308"/>
    <mergeCell ref="P307:R307"/>
    <mergeCell ref="H305:R305"/>
    <mergeCell ref="AA288:AK288"/>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Z560:AD560"/>
    <mergeCell ref="AD412:AE412"/>
    <mergeCell ref="H414:AE415"/>
    <mergeCell ref="AE425:AF425"/>
    <mergeCell ref="AI561:AL561"/>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C509:AF509"/>
    <mergeCell ref="AC525:AF525"/>
    <mergeCell ref="AH503:AK503"/>
    <mergeCell ref="AC500:AF500"/>
    <mergeCell ref="Q485:AK485"/>
    <mergeCell ref="N575:O575"/>
    <mergeCell ref="G569:R569"/>
    <mergeCell ref="H582:R582"/>
    <mergeCell ref="P581:R581"/>
    <mergeCell ref="AA582:AK582"/>
    <mergeCell ref="AE560:AH560"/>
    <mergeCell ref="T556:V556"/>
    <mergeCell ref="AC520:AF520"/>
    <mergeCell ref="AC527:AF527"/>
    <mergeCell ref="B520:H542"/>
    <mergeCell ref="G579:R579"/>
    <mergeCell ref="AF627:AJ627"/>
    <mergeCell ref="Z651:AK651"/>
    <mergeCell ref="G613:L613"/>
    <mergeCell ref="Z653:AK653"/>
    <mergeCell ref="G676:R676"/>
    <mergeCell ref="G644:R644"/>
    <mergeCell ref="G643:R643"/>
    <mergeCell ref="Z662:AK662"/>
    <mergeCell ref="Z630:AB630"/>
    <mergeCell ref="N673:O673"/>
    <mergeCell ref="G687:L687"/>
    <mergeCell ref="T722:W722"/>
    <mergeCell ref="N649:O649"/>
    <mergeCell ref="K729:N729"/>
    <mergeCell ref="Z610:AK610"/>
    <mergeCell ref="Z677:AK677"/>
    <mergeCell ref="AG607:AH607"/>
    <mergeCell ref="G645:R645"/>
    <mergeCell ref="X723:AB723"/>
    <mergeCell ref="T719:W719"/>
    <mergeCell ref="AG665:AH665"/>
    <mergeCell ref="G653:R653"/>
    <mergeCell ref="AG681:AH681"/>
    <mergeCell ref="AI687:AK687"/>
    <mergeCell ref="AE696:AI696"/>
    <mergeCell ref="G670:R670"/>
    <mergeCell ref="Z669:AK669"/>
    <mergeCell ref="R705:T705"/>
    <mergeCell ref="G678:R678"/>
    <mergeCell ref="P679:R679"/>
    <mergeCell ref="G677:R677"/>
    <mergeCell ref="Q624:S626"/>
    <mergeCell ref="AH749:AJ749"/>
    <mergeCell ref="AD759:AF759"/>
    <mergeCell ref="G738:J738"/>
    <mergeCell ref="E707:AK707"/>
    <mergeCell ref="K726:N726"/>
    <mergeCell ref="B719:F719"/>
    <mergeCell ref="X769:AB772"/>
    <mergeCell ref="W706:AK706"/>
    <mergeCell ref="AK748:AO748"/>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B640:AN640"/>
    <mergeCell ref="B641:AN641"/>
    <mergeCell ref="W633:Y633"/>
    <mergeCell ref="M825:P825"/>
    <mergeCell ref="C825:H825"/>
    <mergeCell ref="AG828:AJ828"/>
    <mergeCell ref="Q830:T830"/>
    <mergeCell ref="Z807:AE807"/>
    <mergeCell ref="C631:L631"/>
    <mergeCell ref="C632:L632"/>
    <mergeCell ref="Z628:AB628"/>
    <mergeCell ref="Z629:AB629"/>
    <mergeCell ref="G646:R646"/>
    <mergeCell ref="Z644:AK644"/>
    <mergeCell ref="T635:V635"/>
    <mergeCell ref="T636:V636"/>
    <mergeCell ref="T637:V637"/>
    <mergeCell ref="T638:V638"/>
    <mergeCell ref="B718:F718"/>
    <mergeCell ref="G685:R685"/>
    <mergeCell ref="N665:O665"/>
    <mergeCell ref="H672:R672"/>
    <mergeCell ref="G659:R659"/>
    <mergeCell ref="G719:J719"/>
    <mergeCell ref="O718:S718"/>
    <mergeCell ref="O720:S720"/>
    <mergeCell ref="G714:J717"/>
    <mergeCell ref="G668:R668"/>
    <mergeCell ref="P671:R671"/>
    <mergeCell ref="P687:R687"/>
    <mergeCell ref="J705:O705"/>
    <mergeCell ref="J704:X704"/>
    <mergeCell ref="AK749:AO749"/>
    <mergeCell ref="AK750:AO750"/>
    <mergeCell ref="AK751:AO751"/>
    <mergeCell ref="AH745:AJ745"/>
    <mergeCell ref="Q826:T826"/>
    <mergeCell ref="Y823:AB824"/>
    <mergeCell ref="O774:S774"/>
    <mergeCell ref="O794:S794"/>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T789:W789"/>
    <mergeCell ref="Z815:AE815"/>
    <mergeCell ref="Z808:AE808"/>
    <mergeCell ref="T776:W776"/>
    <mergeCell ref="T774:W774"/>
    <mergeCell ref="J779:K779"/>
    <mergeCell ref="J787:N787"/>
    <mergeCell ref="T773:W773"/>
    <mergeCell ref="J789:N789"/>
    <mergeCell ref="AC789:AG789"/>
    <mergeCell ref="Q823:T824"/>
    <mergeCell ref="AG832:AJ832"/>
    <mergeCell ref="W844:AC844"/>
    <mergeCell ref="C826:H826"/>
    <mergeCell ref="W852:AC852"/>
    <mergeCell ref="AG756:AJ756"/>
    <mergeCell ref="AC832:AF832"/>
    <mergeCell ref="W859:AC859"/>
    <mergeCell ref="AG831:AJ831"/>
    <mergeCell ref="Z817:AE817"/>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G679:L679"/>
    <mergeCell ref="G720:J720"/>
    <mergeCell ref="T729:W729"/>
    <mergeCell ref="AH728:AJ728"/>
    <mergeCell ref="C829:H829"/>
    <mergeCell ref="Q828:T828"/>
    <mergeCell ref="T728:W728"/>
    <mergeCell ref="AC740:AG740"/>
    <mergeCell ref="AC741:AG741"/>
    <mergeCell ref="AC737:AG737"/>
    <mergeCell ref="AC776:AG776"/>
    <mergeCell ref="J769:N772"/>
    <mergeCell ref="AG823:AJ824"/>
    <mergeCell ref="AC797:AG797"/>
    <mergeCell ref="AC787:AG787"/>
    <mergeCell ref="M830:P830"/>
    <mergeCell ref="T791:W791"/>
    <mergeCell ref="T787:W787"/>
    <mergeCell ref="T788:W788"/>
    <mergeCell ref="AG829:AJ829"/>
    <mergeCell ref="AC790:AG790"/>
    <mergeCell ref="Y826:AB826"/>
    <mergeCell ref="AC792:AG792"/>
    <mergeCell ref="X774:AB774"/>
    <mergeCell ref="X795:AB795"/>
    <mergeCell ref="J783:N786"/>
    <mergeCell ref="Z818:AE818"/>
    <mergeCell ref="O769:S772"/>
    <mergeCell ref="M829:P829"/>
    <mergeCell ref="B729:F729"/>
    <mergeCell ref="G728:J728"/>
    <mergeCell ref="AC826:AF826"/>
    <mergeCell ref="AC827:AF827"/>
    <mergeCell ref="AC777:AG777"/>
    <mergeCell ref="AH736:AJ736"/>
    <mergeCell ref="AH735:AJ735"/>
    <mergeCell ref="U831:X831"/>
    <mergeCell ref="Q831:T831"/>
    <mergeCell ref="AG830:AJ830"/>
    <mergeCell ref="J788:N788"/>
    <mergeCell ref="U832:X832"/>
    <mergeCell ref="M832:P832"/>
    <mergeCell ref="W866:AC866"/>
    <mergeCell ref="U828:X828"/>
    <mergeCell ref="AZ851:BA851"/>
    <mergeCell ref="W876:AC876"/>
    <mergeCell ref="M861:V861"/>
    <mergeCell ref="W845:AC845"/>
    <mergeCell ref="W854:AC854"/>
    <mergeCell ref="BD898:BE898"/>
    <mergeCell ref="Z809:AE809"/>
    <mergeCell ref="AC831:AF831"/>
    <mergeCell ref="Q829:T829"/>
    <mergeCell ref="M871:V871"/>
    <mergeCell ref="AC888:AH888"/>
    <mergeCell ref="M878:V878"/>
    <mergeCell ref="W870:AC870"/>
    <mergeCell ref="AC883:AH883"/>
    <mergeCell ref="Q832:T832"/>
    <mergeCell ref="X794:AB794"/>
    <mergeCell ref="T796:W796"/>
    <mergeCell ref="W849:AC849"/>
    <mergeCell ref="M877:V877"/>
    <mergeCell ref="W869:AC869"/>
    <mergeCell ref="AC825:AF825"/>
    <mergeCell ref="AG827:AJ827"/>
    <mergeCell ref="M826:P826"/>
    <mergeCell ref="U829:X829"/>
    <mergeCell ref="T858:V858"/>
    <mergeCell ref="T860:V860"/>
    <mergeCell ref="W867:AC867"/>
    <mergeCell ref="W862:AC862"/>
    <mergeCell ref="W851:AC851"/>
    <mergeCell ref="M876:V876"/>
    <mergeCell ref="W868:AC868"/>
    <mergeCell ref="AC885:AH885"/>
    <mergeCell ref="W861:AC861"/>
    <mergeCell ref="C894:AB894"/>
    <mergeCell ref="AC887:AH887"/>
    <mergeCell ref="AC890:AH890"/>
    <mergeCell ref="Z898:AE898"/>
    <mergeCell ref="W872:AC872"/>
    <mergeCell ref="AC884:AH884"/>
    <mergeCell ref="M875:V875"/>
    <mergeCell ref="W877:AC877"/>
    <mergeCell ref="W853:AC853"/>
    <mergeCell ref="AC886:AH886"/>
    <mergeCell ref="W857:AC857"/>
    <mergeCell ref="F930:T930"/>
    <mergeCell ref="F931:T931"/>
    <mergeCell ref="AA938:AF938"/>
    <mergeCell ref="AA939:AF939"/>
    <mergeCell ref="BD905:BF905"/>
    <mergeCell ref="BD904:BF904"/>
    <mergeCell ref="U923:Z923"/>
    <mergeCell ref="AB916:AE916"/>
    <mergeCell ref="AA921:AF921"/>
    <mergeCell ref="Z901:AE901"/>
    <mergeCell ref="W863:AC863"/>
    <mergeCell ref="AC891:AH891"/>
    <mergeCell ref="C893:AB893"/>
    <mergeCell ref="BD902:BE902"/>
    <mergeCell ref="W874:AC874"/>
    <mergeCell ref="U927:Z927"/>
    <mergeCell ref="BD900:BE900"/>
    <mergeCell ref="BD901:BE901"/>
    <mergeCell ref="BD899:BE899"/>
    <mergeCell ref="W875:AC87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A966:AG966"/>
    <mergeCell ref="AA972:AG972"/>
    <mergeCell ref="AE961:AK961"/>
    <mergeCell ref="BN639:BR639"/>
    <mergeCell ref="BN640:BR640"/>
    <mergeCell ref="H656:R656"/>
    <mergeCell ref="W636:Y636"/>
    <mergeCell ref="W637:Y637"/>
    <mergeCell ref="C627:L627"/>
    <mergeCell ref="C635:L635"/>
    <mergeCell ref="H614:R614"/>
    <mergeCell ref="Z632:AB632"/>
    <mergeCell ref="G651:R651"/>
    <mergeCell ref="G652:R652"/>
    <mergeCell ref="Z655:AE655"/>
    <mergeCell ref="AA656:AK656"/>
    <mergeCell ref="BN618:BR618"/>
    <mergeCell ref="BK617:BL617"/>
    <mergeCell ref="BG631:BH631"/>
    <mergeCell ref="BI631:BJ631"/>
    <mergeCell ref="AO640:AS640"/>
    <mergeCell ref="BN626:BR626"/>
    <mergeCell ref="BE627:BF627"/>
    <mergeCell ref="BE620:BF620"/>
    <mergeCell ref="H648:R648"/>
    <mergeCell ref="BI615:BJ615"/>
    <mergeCell ref="AC628:AE628"/>
    <mergeCell ref="C629:L629"/>
    <mergeCell ref="C630:L630"/>
    <mergeCell ref="Z645:AK645"/>
    <mergeCell ref="BK621:BL621"/>
    <mergeCell ref="BE622:BF622"/>
    <mergeCell ref="BG622:BH622"/>
    <mergeCell ref="Z631:AB631"/>
    <mergeCell ref="W635:Y635"/>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7:L647"/>
    <mergeCell ref="Q638:S638"/>
    <mergeCell ref="AI647:AK647"/>
    <mergeCell ref="AO624:AS626"/>
    <mergeCell ref="AF629:AJ629"/>
    <mergeCell ref="G654:R654"/>
    <mergeCell ref="Z647:AE647"/>
    <mergeCell ref="Z652:AK652"/>
    <mergeCell ref="P647:R647"/>
    <mergeCell ref="AF624:AJ626"/>
    <mergeCell ref="B639:AN639"/>
    <mergeCell ref="BK631:BL631"/>
    <mergeCell ref="BN631:BR631"/>
    <mergeCell ref="AO639:AS639"/>
    <mergeCell ref="AO629:AS629"/>
    <mergeCell ref="AF630:AJ630"/>
    <mergeCell ref="BK625:BL625"/>
    <mergeCell ref="M634:P634"/>
    <mergeCell ref="AF634:AJ634"/>
    <mergeCell ref="AK630:AN630"/>
    <mergeCell ref="AK631:AN631"/>
    <mergeCell ref="AK632:AN632"/>
    <mergeCell ref="Z634:AB634"/>
    <mergeCell ref="Z635:AB635"/>
    <mergeCell ref="AO632:AS632"/>
    <mergeCell ref="Z627:AB627"/>
    <mergeCell ref="W632:Y632"/>
    <mergeCell ref="Q636:S636"/>
    <mergeCell ref="Q637:S637"/>
    <mergeCell ref="T624:V626"/>
    <mergeCell ref="W627:Y627"/>
    <mergeCell ref="T627:V627"/>
    <mergeCell ref="Q631:S631"/>
    <mergeCell ref="Q632:S632"/>
    <mergeCell ref="Q633:S633"/>
    <mergeCell ref="Q634:S634"/>
    <mergeCell ref="T634:V634"/>
    <mergeCell ref="BG632:BH632"/>
    <mergeCell ref="BK632:BL632"/>
    <mergeCell ref="BN632:BR632"/>
    <mergeCell ref="AO634:AS634"/>
    <mergeCell ref="M635:P635"/>
    <mergeCell ref="M636:P636"/>
    <mergeCell ref="BS645:BW645"/>
    <mergeCell ref="AO638:AS638"/>
    <mergeCell ref="M633:P633"/>
    <mergeCell ref="BE631:BF631"/>
    <mergeCell ref="BG620:BH620"/>
    <mergeCell ref="BI620:BJ620"/>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X638:CB638"/>
    <mergeCell ref="Z638:AB638"/>
    <mergeCell ref="BN638:BR638"/>
    <mergeCell ref="BI616:BJ616"/>
    <mergeCell ref="BE611:BF611"/>
    <mergeCell ref="BN613:BR613"/>
    <mergeCell ref="BK618:BL618"/>
    <mergeCell ref="BE614:BF614"/>
    <mergeCell ref="BG616:BH616"/>
    <mergeCell ref="BS606:BW606"/>
    <mergeCell ref="CC609:CG609"/>
    <mergeCell ref="BK609:BL609"/>
    <mergeCell ref="BI608:BJ608"/>
    <mergeCell ref="BG610:BH610"/>
    <mergeCell ref="BG607:BH607"/>
    <mergeCell ref="BS610:BW610"/>
    <mergeCell ref="BS616:BW616"/>
    <mergeCell ref="CH612:CL612"/>
    <mergeCell ref="BN619:BR619"/>
    <mergeCell ref="BX612:CB612"/>
    <mergeCell ref="BX615:CB615"/>
    <mergeCell ref="BG611:BH611"/>
    <mergeCell ref="BI612:BJ612"/>
    <mergeCell ref="BK612:BL612"/>
    <mergeCell ref="BG612:BH612"/>
    <mergeCell ref="BG608:BH608"/>
    <mergeCell ref="CH617:CL617"/>
    <mergeCell ref="BN606:BR606"/>
    <mergeCell ref="BK606:BL606"/>
    <mergeCell ref="CC616:CG616"/>
    <mergeCell ref="BX618:CB618"/>
    <mergeCell ref="CC618:CG61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M616:CQ616"/>
    <mergeCell ref="CM617:CQ617"/>
    <mergeCell ref="CM618:CQ618"/>
    <mergeCell ref="BE615:BF615"/>
    <mergeCell ref="BG619:BH619"/>
    <mergeCell ref="CH618:CL618"/>
    <mergeCell ref="BI619:BJ619"/>
    <mergeCell ref="BS620:BW620"/>
    <mergeCell ref="BX620:CB620"/>
    <mergeCell ref="CH613:CL613"/>
    <mergeCell ref="BK620:BL620"/>
    <mergeCell ref="CM611:CQ611"/>
    <mergeCell ref="BG617:BH617"/>
    <mergeCell ref="BS615:BW615"/>
    <mergeCell ref="CC611:CG611"/>
    <mergeCell ref="BS612:BW612"/>
    <mergeCell ref="BN616:BR616"/>
    <mergeCell ref="BE618:BF618"/>
    <mergeCell ref="BE619:BF619"/>
    <mergeCell ref="CC631:CG631"/>
    <mergeCell ref="BE624:BF624"/>
    <mergeCell ref="BG624:BH624"/>
    <mergeCell ref="BI624:BJ624"/>
    <mergeCell ref="CM638:CQ638"/>
    <mergeCell ref="BS637:BW637"/>
    <mergeCell ref="CC625:CG625"/>
    <mergeCell ref="BK611:BL611"/>
    <mergeCell ref="G610:R610"/>
    <mergeCell ref="T558:V558"/>
    <mergeCell ref="W561:Y561"/>
    <mergeCell ref="W562:Y562"/>
    <mergeCell ref="W563:Y563"/>
    <mergeCell ref="W564:Y564"/>
    <mergeCell ref="T560:V560"/>
    <mergeCell ref="G570:R570"/>
    <mergeCell ref="Z561:AD561"/>
    <mergeCell ref="M562:P562"/>
    <mergeCell ref="M563:P563"/>
    <mergeCell ref="A617:AT618"/>
    <mergeCell ref="B624:L626"/>
    <mergeCell ref="Z588:AK588"/>
    <mergeCell ref="Z578:AK578"/>
    <mergeCell ref="Z603:AK603"/>
    <mergeCell ref="AI605:AK605"/>
    <mergeCell ref="Z604:AK604"/>
    <mergeCell ref="AM563:AS563"/>
    <mergeCell ref="H573:R573"/>
    <mergeCell ref="B566:AL566"/>
    <mergeCell ref="AM561:AS561"/>
    <mergeCell ref="AM559:AS559"/>
    <mergeCell ref="T565:V565"/>
    <mergeCell ref="C560:L560"/>
    <mergeCell ref="Z613:AE613"/>
    <mergeCell ref="Z564:AD564"/>
    <mergeCell ref="AM562:AS562"/>
    <mergeCell ref="Z611:AK611"/>
    <mergeCell ref="AA614:AK614"/>
    <mergeCell ref="AM564:AS564"/>
    <mergeCell ref="H606:R606"/>
    <mergeCell ref="Z559:AD559"/>
    <mergeCell ref="AE559:AH559"/>
    <mergeCell ref="AI559:AL559"/>
    <mergeCell ref="AH520:AK520"/>
    <mergeCell ref="AC537:AF537"/>
    <mergeCell ref="AH539:AK539"/>
    <mergeCell ref="AH541:AK541"/>
    <mergeCell ref="AC535:AF535"/>
    <mergeCell ref="AI554:AL554"/>
    <mergeCell ref="W557:Y557"/>
    <mergeCell ref="W558:Y558"/>
    <mergeCell ref="AE558:AH558"/>
    <mergeCell ref="C557:L557"/>
    <mergeCell ref="AH523:AK523"/>
    <mergeCell ref="O532:AA532"/>
    <mergeCell ref="AH535:AK535"/>
    <mergeCell ref="AH527:AK527"/>
    <mergeCell ref="T554:V554"/>
    <mergeCell ref="M555:P555"/>
    <mergeCell ref="C556:L556"/>
    <mergeCell ref="M556:P556"/>
    <mergeCell ref="AC533:AF533"/>
    <mergeCell ref="O535:AA535"/>
    <mergeCell ref="AE556:AH556"/>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M614:DQ614"/>
    <mergeCell ref="CX614:DB614"/>
    <mergeCell ref="BX653:CB653"/>
    <mergeCell ref="BX654:CB654"/>
    <mergeCell ref="CM652:CQ652"/>
    <mergeCell ref="CM653:CQ653"/>
    <mergeCell ref="CM654:CQ654"/>
    <mergeCell ref="BS648:BW648"/>
    <mergeCell ref="CX609:DB609"/>
    <mergeCell ref="DC609:DG609"/>
    <mergeCell ref="DH609:DL609"/>
    <mergeCell ref="BS638:BW638"/>
    <mergeCell ref="BS654:BW654"/>
    <mergeCell ref="BS646:BW646"/>
    <mergeCell ref="X783:AB786"/>
    <mergeCell ref="X787:AB787"/>
    <mergeCell ref="X796:AB796"/>
    <mergeCell ref="AI671:AK671"/>
    <mergeCell ref="AE695:AI695"/>
    <mergeCell ref="CS619:CW619"/>
    <mergeCell ref="CX619:DB619"/>
    <mergeCell ref="DC619:DG619"/>
    <mergeCell ref="DH619:DL619"/>
    <mergeCell ref="AC727:AG727"/>
    <mergeCell ref="AC728:AG728"/>
    <mergeCell ref="X721:AB721"/>
    <mergeCell ref="X727:AB727"/>
    <mergeCell ref="AC738:AG738"/>
    <mergeCell ref="X725:AB725"/>
    <mergeCell ref="AH753:AJ753"/>
    <mergeCell ref="AK745:AO745"/>
    <mergeCell ref="DC610:DG610"/>
    <mergeCell ref="DH610:DL610"/>
    <mergeCell ref="BN611:BR611"/>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K739:AO739"/>
    <mergeCell ref="AH751:AJ751"/>
    <mergeCell ref="AC795:AG795"/>
    <mergeCell ref="Y829:AB829"/>
    <mergeCell ref="AC829:AF829"/>
    <mergeCell ref="C837:AJ837"/>
    <mergeCell ref="U830:X830"/>
    <mergeCell ref="J796:N796"/>
    <mergeCell ref="J777:N777"/>
    <mergeCell ref="G683:R683"/>
    <mergeCell ref="N681:O681"/>
    <mergeCell ref="Y827:AB827"/>
    <mergeCell ref="O796:S796"/>
    <mergeCell ref="X777:AB777"/>
    <mergeCell ref="U825:X825"/>
    <mergeCell ref="M823:P824"/>
    <mergeCell ref="O791:S791"/>
    <mergeCell ref="BN645:BR645"/>
    <mergeCell ref="T794:W794"/>
    <mergeCell ref="T792:W792"/>
    <mergeCell ref="O777:S777"/>
    <mergeCell ref="X788:AB788"/>
    <mergeCell ref="T734:W734"/>
    <mergeCell ref="O775:S775"/>
    <mergeCell ref="BG975:BL975"/>
    <mergeCell ref="AA949:AF949"/>
    <mergeCell ref="AE955:AK955"/>
    <mergeCell ref="AA946:AF946"/>
    <mergeCell ref="BD906:BE906"/>
    <mergeCell ref="BD907:BE907"/>
    <mergeCell ref="U946:Z946"/>
    <mergeCell ref="U918:Z918"/>
    <mergeCell ref="U944:Z944"/>
    <mergeCell ref="AA933:AF933"/>
    <mergeCell ref="BG848:BL848"/>
    <mergeCell ref="AH731:AJ731"/>
    <mergeCell ref="BN660:BR660"/>
    <mergeCell ref="BN646:BR646"/>
    <mergeCell ref="AA664:AK664"/>
    <mergeCell ref="M957:S957"/>
    <mergeCell ref="AA971:AG971"/>
    <mergeCell ref="AA919:AF919"/>
    <mergeCell ref="AA918:AF918"/>
    <mergeCell ref="BD903:BE903"/>
    <mergeCell ref="I945:T945"/>
    <mergeCell ref="U945:Z945"/>
    <mergeCell ref="AA945:AF945"/>
    <mergeCell ref="F925:T925"/>
    <mergeCell ref="F929:T929"/>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F945:H945"/>
    <mergeCell ref="F926:T926"/>
    <mergeCell ref="F927:T927"/>
    <mergeCell ref="U925:Z925"/>
    <mergeCell ref="AA925:AF925"/>
    <mergeCell ref="U926:Z926"/>
    <mergeCell ref="AA926:AF926"/>
    <mergeCell ref="F928:T928"/>
    <mergeCell ref="F936:T936"/>
    <mergeCell ref="U936:Z936"/>
    <mergeCell ref="AA936:AF936"/>
    <mergeCell ref="F941:T941"/>
    <mergeCell ref="O776:S776"/>
    <mergeCell ref="U941:Z941"/>
    <mergeCell ref="AA941:AF941"/>
    <mergeCell ref="F943:T943"/>
    <mergeCell ref="U943:Z943"/>
    <mergeCell ref="AA943:AF943"/>
    <mergeCell ref="AA970:AG970"/>
    <mergeCell ref="AA924:AF924"/>
    <mergeCell ref="AE957:AK957"/>
    <mergeCell ref="T795:W795"/>
    <mergeCell ref="C832:L832"/>
    <mergeCell ref="CS645:CW645"/>
    <mergeCell ref="CX645:DB645"/>
    <mergeCell ref="DC645:DG645"/>
    <mergeCell ref="CS646:CW646"/>
    <mergeCell ref="CH639:CL639"/>
    <mergeCell ref="CH647:CL647"/>
    <mergeCell ref="CS650:CW650"/>
    <mergeCell ref="CX650:DB650"/>
    <mergeCell ref="CX646:DB646"/>
    <mergeCell ref="CH646:CL646"/>
    <mergeCell ref="U920:Z920"/>
    <mergeCell ref="AA920:AF920"/>
    <mergeCell ref="BD909:BE909"/>
    <mergeCell ref="AB956:AK956"/>
    <mergeCell ref="U948:Z948"/>
    <mergeCell ref="AA927:AF927"/>
    <mergeCell ref="U922:Z922"/>
    <mergeCell ref="AA968:AG968"/>
    <mergeCell ref="AA940:AF940"/>
    <mergeCell ref="A909:AT910"/>
    <mergeCell ref="U937:Z937"/>
    <mergeCell ref="W847:AC847"/>
    <mergeCell ref="X737:AB737"/>
    <mergeCell ref="U947:Z947"/>
    <mergeCell ref="U934:Z934"/>
    <mergeCell ref="AA922:AF922"/>
    <mergeCell ref="O783:S78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A1103:B1103"/>
    <mergeCell ref="G725:J725"/>
    <mergeCell ref="B732:F732"/>
    <mergeCell ref="J794:N794"/>
    <mergeCell ref="AC752:AG752"/>
    <mergeCell ref="O787:S787"/>
    <mergeCell ref="AH746:AJ746"/>
    <mergeCell ref="Q827:T827"/>
    <mergeCell ref="R987:AA987"/>
    <mergeCell ref="G729:J729"/>
    <mergeCell ref="B726:F726"/>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T775:W775"/>
    <mergeCell ref="AG826:AJ826"/>
    <mergeCell ref="AG825:AJ825"/>
    <mergeCell ref="AC794:AG794"/>
    <mergeCell ref="O793:S793"/>
    <mergeCell ref="J790:N790"/>
    <mergeCell ref="B735:F735"/>
    <mergeCell ref="B738:F738"/>
    <mergeCell ref="W842:AC842"/>
    <mergeCell ref="O790:S790"/>
    <mergeCell ref="P816:Y816"/>
    <mergeCell ref="O788:S788"/>
    <mergeCell ref="O795:S795"/>
    <mergeCell ref="AC791:AG791"/>
    <mergeCell ref="T790:W790"/>
    <mergeCell ref="O797:S797"/>
    <mergeCell ref="AH747:AJ747"/>
    <mergeCell ref="AH748:AJ748"/>
    <mergeCell ref="X746:AB746"/>
    <mergeCell ref="X747:AB747"/>
    <mergeCell ref="X748:AB748"/>
    <mergeCell ref="X749:AB749"/>
    <mergeCell ref="Z813:AE813"/>
    <mergeCell ref="O747:S747"/>
    <mergeCell ref="T747:W747"/>
    <mergeCell ref="AC748:AG748"/>
    <mergeCell ref="AH750:AJ750"/>
    <mergeCell ref="O756:R756"/>
    <mergeCell ref="T750:W750"/>
    <mergeCell ref="X789:AB789"/>
    <mergeCell ref="X790:AB790"/>
    <mergeCell ref="X791:AB791"/>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G580:R580"/>
    <mergeCell ref="M565:P565"/>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C763:AR765"/>
    <mergeCell ref="C766:AR768"/>
    <mergeCell ref="B754:AH755"/>
    <mergeCell ref="U827:X827"/>
    <mergeCell ref="T744:W744"/>
    <mergeCell ref="AH752:AJ752"/>
    <mergeCell ref="AK752:AO752"/>
    <mergeCell ref="K745:N745"/>
    <mergeCell ref="O745:S745"/>
    <mergeCell ref="X750:AB750"/>
    <mergeCell ref="AC749:AG749"/>
    <mergeCell ref="AC750:AG750"/>
    <mergeCell ref="G753:J753"/>
    <mergeCell ref="Q825:T825"/>
    <mergeCell ref="X745:AB745"/>
    <mergeCell ref="Y825:AB825"/>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T971:Z971"/>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R614:EV614"/>
    <mergeCell ref="EW614:FA614"/>
    <mergeCell ref="DX615:EB615"/>
    <mergeCell ref="EC615:EG615"/>
    <mergeCell ref="EC609:EG609"/>
    <mergeCell ref="EH609:EL609"/>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C617:EG617"/>
    <mergeCell ref="EW619:FA619"/>
    <mergeCell ref="EC630:EG630"/>
    <mergeCell ref="EH630:EL630"/>
    <mergeCell ref="EM630:EQ630"/>
    <mergeCell ref="ER617:EV617"/>
    <mergeCell ref="EW617:FA617"/>
    <mergeCell ref="ER637:EV637"/>
    <mergeCell ref="DX627:EB627"/>
    <mergeCell ref="EC627:EG627"/>
    <mergeCell ref="EH627:EL627"/>
    <mergeCell ref="EM627:EQ627"/>
    <mergeCell ref="ER627:EV627"/>
    <mergeCell ref="EW639:FA639"/>
    <mergeCell ref="DX640:EB640"/>
    <mergeCell ref="EC640:EG640"/>
    <mergeCell ref="EW640:FA640"/>
    <mergeCell ref="ER643:EV643"/>
    <mergeCell ref="ER640:EV640"/>
    <mergeCell ref="ER639:EV639"/>
    <mergeCell ref="EH662:EL662"/>
    <mergeCell ref="DX659:EB659"/>
    <mergeCell ref="ER660:EV660"/>
    <mergeCell ref="EW660:FA660"/>
    <mergeCell ref="DX661:EB661"/>
    <mergeCell ref="EC661:EG661"/>
    <mergeCell ref="EH661:EL661"/>
    <mergeCell ref="EW642:FA642"/>
    <mergeCell ref="EW643:FA643"/>
    <mergeCell ref="DX644:EB644"/>
    <mergeCell ref="EC644:EG644"/>
    <mergeCell ref="EH644:EL644"/>
    <mergeCell ref="ER641:EV641"/>
    <mergeCell ref="EW647:FA647"/>
    <mergeCell ref="EW650:FA650"/>
    <mergeCell ref="EW648:FA648"/>
    <mergeCell ref="EW651:FA651"/>
    <mergeCell ref="DX645:EB645"/>
    <mergeCell ref="EW649:FA649"/>
    <mergeCell ref="EW641:FA641"/>
    <mergeCell ref="DX665:EB665"/>
    <mergeCell ref="EC665:EG665"/>
    <mergeCell ref="EH665:EL665"/>
    <mergeCell ref="EM665:EQ665"/>
    <mergeCell ref="ER665:EV665"/>
    <mergeCell ref="EW665:FA665"/>
    <mergeCell ref="EW662:FA662"/>
    <mergeCell ref="DX663:EB663"/>
    <mergeCell ref="EC663:EG663"/>
    <mergeCell ref="EH663:EL663"/>
    <mergeCell ref="EM663:EQ663"/>
    <mergeCell ref="DX664:EB664"/>
    <mergeCell ref="EC664:EG664"/>
    <mergeCell ref="EH664:EL664"/>
    <mergeCell ref="EM654:EQ654"/>
    <mergeCell ref="ER654:EV654"/>
    <mergeCell ref="EM652:EQ652"/>
    <mergeCell ref="EC655:EG655"/>
    <mergeCell ref="EM653:EQ653"/>
    <mergeCell ref="ER653:EV653"/>
    <mergeCell ref="EW655:FA655"/>
    <mergeCell ref="EW652:FA652"/>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R669:EV669"/>
    <mergeCell ref="ER668:EV668"/>
    <mergeCell ref="DX656:EB656"/>
    <mergeCell ref="EC656:EG656"/>
    <mergeCell ref="EH656:EL656"/>
    <mergeCell ref="EM656:EQ656"/>
    <mergeCell ref="ER666:EV666"/>
    <mergeCell ref="EW666:FA666"/>
    <mergeCell ref="DX667:EB667"/>
    <mergeCell ref="DX662:EB662"/>
    <mergeCell ref="EC662:EG662"/>
    <mergeCell ref="EM670:EQ670"/>
    <mergeCell ref="EW637:FA637"/>
    <mergeCell ref="EC645:EG645"/>
    <mergeCell ref="ER645:EV645"/>
    <mergeCell ref="EW645:FA645"/>
    <mergeCell ref="DX646:EB646"/>
    <mergeCell ref="EC646:EG646"/>
    <mergeCell ref="EH646:EL646"/>
    <mergeCell ref="EM667:EQ667"/>
    <mergeCell ref="ER667:EV667"/>
    <mergeCell ref="EW667:FA667"/>
    <mergeCell ref="EM661:EQ661"/>
    <mergeCell ref="EH640:EL640"/>
    <mergeCell ref="EM640:EQ640"/>
    <mergeCell ref="DX639:EB639"/>
    <mergeCell ref="ER663:EV663"/>
    <mergeCell ref="EW663:FA663"/>
    <mergeCell ref="DX666:EB666"/>
    <mergeCell ref="EC666:EG666"/>
    <mergeCell ref="EH666:EL666"/>
    <mergeCell ref="ER650:EV650"/>
    <mergeCell ref="EH653:EL653"/>
    <mergeCell ref="EH655:EL655"/>
    <mergeCell ref="EM655:EQ655"/>
    <mergeCell ref="EH647:EL647"/>
    <mergeCell ref="EM647:EQ647"/>
    <mergeCell ref="DX648:EB648"/>
    <mergeCell ref="EM651:EQ651"/>
    <mergeCell ref="ER649:EV649"/>
    <mergeCell ref="DX652:EB652"/>
    <mergeCell ref="EC652:EG652"/>
    <mergeCell ref="EH652:EL652"/>
    <mergeCell ref="CX648:DB648"/>
    <mergeCell ref="DC648:DG648"/>
    <mergeCell ref="DH626:DL626"/>
    <mergeCell ref="DM626:DQ626"/>
    <mergeCell ref="DR626:DV626"/>
    <mergeCell ref="CS627:CW627"/>
    <mergeCell ref="CX627:DB627"/>
    <mergeCell ref="DC627:DG627"/>
    <mergeCell ref="DH627:DL627"/>
    <mergeCell ref="DM627:DQ627"/>
    <mergeCell ref="DR627:DV627"/>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W669:FA669"/>
    <mergeCell ref="DX642:EB642"/>
    <mergeCell ref="EC642:EG642"/>
    <mergeCell ref="EH642:EL642"/>
    <mergeCell ref="EM642:EQ642"/>
    <mergeCell ref="ER642:EV642"/>
    <mergeCell ref="DX641:EB641"/>
    <mergeCell ref="EH641:EL641"/>
    <mergeCell ref="EM641:EQ641"/>
    <mergeCell ref="DX651:EB651"/>
    <mergeCell ref="EC651:EG651"/>
    <mergeCell ref="EM648:EQ648"/>
    <mergeCell ref="ER651:EV651"/>
    <mergeCell ref="ER652:EV652"/>
    <mergeCell ref="DX650:EB650"/>
    <mergeCell ref="EC650:EG650"/>
    <mergeCell ref="EM636:EQ636"/>
    <mergeCell ref="DX637:EB637"/>
    <mergeCell ref="EM646:EQ646"/>
    <mergeCell ref="DX643:EB643"/>
    <mergeCell ref="ER636:EV636"/>
    <mergeCell ref="EM609:EQ609"/>
    <mergeCell ref="ER609:EV609"/>
    <mergeCell ref="DM616:DQ616"/>
    <mergeCell ref="CS616:CW616"/>
    <mergeCell ref="AO637:AS637"/>
    <mergeCell ref="CS614:CW614"/>
    <mergeCell ref="AO630:AS630"/>
    <mergeCell ref="CX613:DB613"/>
    <mergeCell ref="AO636:AS636"/>
    <mergeCell ref="AO627:AS627"/>
    <mergeCell ref="ER619:EV619"/>
    <mergeCell ref="ER612:EV612"/>
    <mergeCell ref="CM641:CQ641"/>
    <mergeCell ref="CC637:CG637"/>
    <mergeCell ref="BX641:CB641"/>
    <mergeCell ref="CC641:CG641"/>
    <mergeCell ref="CC639:CG639"/>
    <mergeCell ref="DC630:DG630"/>
    <mergeCell ref="CS630:CW630"/>
    <mergeCell ref="CX630:DB630"/>
    <mergeCell ref="CC632:CG632"/>
    <mergeCell ref="CC617:CG617"/>
    <mergeCell ref="DH631:DL631"/>
    <mergeCell ref="EM619:EQ619"/>
    <mergeCell ref="EC637:EG637"/>
    <mergeCell ref="EH637:EL637"/>
    <mergeCell ref="DR630:DV630"/>
    <mergeCell ref="DH630:DL630"/>
    <mergeCell ref="EH615:EL615"/>
    <mergeCell ref="DM618:DQ618"/>
    <mergeCell ref="DR618:DV618"/>
    <mergeCell ref="CH631:CL631"/>
    <mergeCell ref="CH624:CL624"/>
    <mergeCell ref="AF635:AJ635"/>
    <mergeCell ref="AO635:AS635"/>
    <mergeCell ref="DX612:EB612"/>
    <mergeCell ref="EC612:EG612"/>
    <mergeCell ref="EH612:EL612"/>
    <mergeCell ref="EM612:EQ612"/>
    <mergeCell ref="BN617:BR617"/>
    <mergeCell ref="DR619:DV619"/>
    <mergeCell ref="Z636:AB636"/>
    <mergeCell ref="Z637:AB637"/>
    <mergeCell ref="Z624:AB626"/>
    <mergeCell ref="DR617:DV617"/>
    <mergeCell ref="CS617:CW617"/>
    <mergeCell ref="CX617:DB617"/>
    <mergeCell ref="DC617:DG617"/>
    <mergeCell ref="AK633:AN633"/>
    <mergeCell ref="EH614:EL614"/>
    <mergeCell ref="EM614:EQ614"/>
    <mergeCell ref="EH617:EL617"/>
    <mergeCell ref="EM617:EQ617"/>
    <mergeCell ref="EH619:EL619"/>
    <mergeCell ref="DR616:DV616"/>
    <mergeCell ref="CX616:DB616"/>
    <mergeCell ref="DC632:DG632"/>
    <mergeCell ref="DH632:DL632"/>
    <mergeCell ref="AI613:AK613"/>
    <mergeCell ref="DC631:DG631"/>
    <mergeCell ref="DM631:DQ631"/>
    <mergeCell ref="DH618:DL618"/>
    <mergeCell ref="DX632:EB632"/>
    <mergeCell ref="DR612:DV612"/>
    <mergeCell ref="CX631:DB631"/>
    <mergeCell ref="BS618:BW618"/>
    <mergeCell ref="DR631:DV631"/>
    <mergeCell ref="EC632:EG632"/>
    <mergeCell ref="DH614:DL614"/>
    <mergeCell ref="BX617:CB617"/>
    <mergeCell ref="DM630:DQ630"/>
    <mergeCell ref="BX631:CB631"/>
    <mergeCell ref="DR632:DV632"/>
    <mergeCell ref="CC646:CG646"/>
    <mergeCell ref="DH647:DL647"/>
    <mergeCell ref="DM647:DQ647"/>
    <mergeCell ref="CM639:CQ639"/>
    <mergeCell ref="CH632:CL632"/>
    <mergeCell ref="CM619:CQ619"/>
    <mergeCell ref="CH619:CL619"/>
    <mergeCell ref="CM633:CQ633"/>
    <mergeCell ref="CM630:CQ630"/>
    <mergeCell ref="CM631:CQ631"/>
    <mergeCell ref="DH617:DL617"/>
    <mergeCell ref="DM617:DQ617"/>
    <mergeCell ref="CM629:CQ629"/>
    <mergeCell ref="CS620:CW620"/>
    <mergeCell ref="CX620:DB620"/>
    <mergeCell ref="CH626:CL626"/>
    <mergeCell ref="CM626:CQ626"/>
    <mergeCell ref="CS624:CW624"/>
    <mergeCell ref="CS628:CW628"/>
    <mergeCell ref="CX628:DB628"/>
    <mergeCell ref="DC628:DG628"/>
    <mergeCell ref="DH628:DL628"/>
    <mergeCell ref="DM628:DQ628"/>
    <mergeCell ref="DR651:DV651"/>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CS631:CW631"/>
    <mergeCell ref="CH637:CL637"/>
    <mergeCell ref="CC645:CG645"/>
    <mergeCell ref="BS651:BW651"/>
    <mergeCell ref="CC647:CG647"/>
    <mergeCell ref="BN641:BR641"/>
    <mergeCell ref="BN637:BR637"/>
    <mergeCell ref="BS631:BW631"/>
    <mergeCell ref="BX624:CB624"/>
    <mergeCell ref="CC624:CG624"/>
    <mergeCell ref="DM619:DQ619"/>
    <mergeCell ref="CM640:CQ640"/>
    <mergeCell ref="CX649:DB649"/>
    <mergeCell ref="CC640:CG640"/>
    <mergeCell ref="BS649:BW649"/>
    <mergeCell ref="CH650:CL650"/>
    <mergeCell ref="BS650:BW650"/>
    <mergeCell ref="CH649:CL649"/>
    <mergeCell ref="CC630:CG630"/>
    <mergeCell ref="BX632:CB632"/>
    <mergeCell ref="CM645:CQ645"/>
    <mergeCell ref="CC619:CG619"/>
    <mergeCell ref="CC620:CG620"/>
    <mergeCell ref="CH625:CL625"/>
    <mergeCell ref="CM625:CQ625"/>
    <mergeCell ref="CC629:CG629"/>
    <mergeCell ref="CH629:CL629"/>
    <mergeCell ref="CH645:CL645"/>
    <mergeCell ref="DC646:DG646"/>
    <mergeCell ref="BX648:CB648"/>
    <mergeCell ref="CH641:CL641"/>
    <mergeCell ref="CM650:CQ650"/>
    <mergeCell ref="CS647:CW647"/>
    <mergeCell ref="CX647:DB647"/>
    <mergeCell ref="DC647:DG647"/>
    <mergeCell ref="CC638:CG638"/>
    <mergeCell ref="CX624:DB624"/>
    <mergeCell ref="BS647:BW647"/>
    <mergeCell ref="BS641:BW641"/>
    <mergeCell ref="BS632:BW632"/>
    <mergeCell ref="BS630:BW630"/>
    <mergeCell ref="BS639:BW639"/>
    <mergeCell ref="BX619:CB619"/>
    <mergeCell ref="BS621:BW621"/>
    <mergeCell ref="CX655:DB655"/>
    <mergeCell ref="DC655:DG655"/>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M632:DQ632"/>
    <mergeCell ref="BX645:CB645"/>
    <mergeCell ref="CH640:CL640"/>
    <mergeCell ref="DR655:DV655"/>
    <mergeCell ref="CS652:CW652"/>
    <mergeCell ref="CX652:DB652"/>
    <mergeCell ref="DC652:DG652"/>
    <mergeCell ref="DC650:DG650"/>
    <mergeCell ref="DM645:DQ645"/>
    <mergeCell ref="DR645:DV645"/>
    <mergeCell ref="DC649:DG649"/>
    <mergeCell ref="BX637:CB637"/>
    <mergeCell ref="CH638:CL638"/>
    <mergeCell ref="CM651:CQ651"/>
    <mergeCell ref="DM650:DQ650"/>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AI663:AK663"/>
    <mergeCell ref="Z661:AK661"/>
    <mergeCell ref="X720:AB720"/>
    <mergeCell ref="DR657:DV657"/>
    <mergeCell ref="DM653:DQ653"/>
    <mergeCell ref="DH654:DL654"/>
    <mergeCell ref="DM654:DQ654"/>
    <mergeCell ref="DR654:DV654"/>
    <mergeCell ref="DR653:DV653"/>
    <mergeCell ref="DH651:DL651"/>
    <mergeCell ref="DM651:DQ651"/>
    <mergeCell ref="BN649:BR649"/>
    <mergeCell ref="BN648:BR648"/>
    <mergeCell ref="CC655:CG655"/>
    <mergeCell ref="CH655:CL655"/>
    <mergeCell ref="CM655:CQ655"/>
    <mergeCell ref="Z685:AK685"/>
    <mergeCell ref="CS648:CW648"/>
    <mergeCell ref="CM660:CQ660"/>
    <mergeCell ref="CM649:CQ649"/>
    <mergeCell ref="DH649:DL649"/>
    <mergeCell ref="DM649:DQ649"/>
    <mergeCell ref="CS651:CW651"/>
    <mergeCell ref="AK723:AO723"/>
    <mergeCell ref="AK724:AO724"/>
    <mergeCell ref="Z667:AK667"/>
    <mergeCell ref="CH660:CL660"/>
    <mergeCell ref="DH650:DL650"/>
    <mergeCell ref="BS652:BW652"/>
    <mergeCell ref="CH651:CL651"/>
    <mergeCell ref="DH655:DL655"/>
    <mergeCell ref="DM655:DQ655"/>
    <mergeCell ref="BS655:BW655"/>
    <mergeCell ref="BX655:CB655"/>
    <mergeCell ref="DH653:DL653"/>
    <mergeCell ref="CC649:CG649"/>
    <mergeCell ref="CC650:CG650"/>
    <mergeCell ref="CC652:CG652"/>
    <mergeCell ref="CC653:CG653"/>
    <mergeCell ref="CC654:CG654"/>
    <mergeCell ref="AG649:AH649"/>
    <mergeCell ref="BX652:CB652"/>
    <mergeCell ref="CH652:CL652"/>
    <mergeCell ref="CH653:CL653"/>
    <mergeCell ref="CH654:CL654"/>
    <mergeCell ref="AK720:AO720"/>
    <mergeCell ref="AK721:AO721"/>
    <mergeCell ref="CC660:CG660"/>
    <mergeCell ref="BS660:BW660"/>
    <mergeCell ref="DC651:DG651"/>
    <mergeCell ref="AK730:AO730"/>
    <mergeCell ref="AH727:AJ727"/>
    <mergeCell ref="AC724:AG724"/>
    <mergeCell ref="AC730:AG730"/>
    <mergeCell ref="X722:AB722"/>
    <mergeCell ref="AG689:AH689"/>
    <mergeCell ref="W703:AK703"/>
    <mergeCell ref="Z676:AK676"/>
    <mergeCell ref="W700:AK700"/>
    <mergeCell ref="Z683:AK683"/>
    <mergeCell ref="Z678:AK678"/>
    <mergeCell ref="AK725:AO725"/>
    <mergeCell ref="AK728:AO728"/>
    <mergeCell ref="Z686:AK686"/>
    <mergeCell ref="AE694:AF694"/>
    <mergeCell ref="AK727:AO727"/>
    <mergeCell ref="AA688:AK688"/>
    <mergeCell ref="AC719:AG719"/>
    <mergeCell ref="T720:W720"/>
    <mergeCell ref="X729:AB729"/>
    <mergeCell ref="AH726:AJ726"/>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K725:N725"/>
    <mergeCell ref="O723:S723"/>
    <mergeCell ref="K720:N720"/>
    <mergeCell ref="P663:R663"/>
    <mergeCell ref="G731:J73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AK732:AO732"/>
    <mergeCell ref="B741:F741"/>
    <mergeCell ref="O733:S733"/>
    <mergeCell ref="O735:S735"/>
    <mergeCell ref="AC736:AG736"/>
    <mergeCell ref="T738:W738"/>
    <mergeCell ref="AH734:AJ734"/>
    <mergeCell ref="K728:N728"/>
    <mergeCell ref="X740:AB740"/>
    <mergeCell ref="AH741:AJ741"/>
    <mergeCell ref="AK740:AO740"/>
    <mergeCell ref="AK741:AO741"/>
    <mergeCell ref="T736:W736"/>
    <mergeCell ref="O741:S741"/>
    <mergeCell ref="X739:AB739"/>
    <mergeCell ref="AH733:AJ733"/>
    <mergeCell ref="G740:J740"/>
    <mergeCell ref="T733:W733"/>
    <mergeCell ref="O734:S734"/>
    <mergeCell ref="K739:N739"/>
    <mergeCell ref="AK731:AO731"/>
    <mergeCell ref="AK738:AO738"/>
    <mergeCell ref="AK733:AO733"/>
    <mergeCell ref="AK734:AO734"/>
    <mergeCell ref="AK735:AO735"/>
    <mergeCell ref="AK729:AO729"/>
    <mergeCell ref="AH732:AJ732"/>
    <mergeCell ref="K727:N727"/>
    <mergeCell ref="X752:AB752"/>
    <mergeCell ref="AH729:AJ729"/>
    <mergeCell ref="O731:S731"/>
    <mergeCell ref="O732:S732"/>
    <mergeCell ref="O727:S727"/>
    <mergeCell ref="AC739:AG739"/>
    <mergeCell ref="T748:W748"/>
    <mergeCell ref="T737:W737"/>
    <mergeCell ref="AK737:AO737"/>
    <mergeCell ref="AK736:AO736"/>
    <mergeCell ref="AK743:AO743"/>
    <mergeCell ref="AK744:AO744"/>
    <mergeCell ref="X743:AB743"/>
    <mergeCell ref="X744:AB744"/>
    <mergeCell ref="AH743:AJ743"/>
    <mergeCell ref="AH744:AJ744"/>
    <mergeCell ref="X738:AB738"/>
    <mergeCell ref="X735:AB735"/>
    <mergeCell ref="X736:AB736"/>
    <mergeCell ref="T735:W735"/>
    <mergeCell ref="AH737:AJ737"/>
    <mergeCell ref="AH738:AJ738"/>
    <mergeCell ref="AC734:AG734"/>
    <mergeCell ref="AC735:AG735"/>
    <mergeCell ref="G612:R612"/>
    <mergeCell ref="A83:AT84"/>
    <mergeCell ref="P339:R339"/>
    <mergeCell ref="N363:O363"/>
    <mergeCell ref="I392:N392"/>
    <mergeCell ref="M357:N357"/>
    <mergeCell ref="J385:U385"/>
    <mergeCell ref="V381:W381"/>
    <mergeCell ref="T555:V555"/>
    <mergeCell ref="W559:Y559"/>
    <mergeCell ref="H340:M340"/>
    <mergeCell ref="AF178:AG178"/>
    <mergeCell ref="T563:V563"/>
    <mergeCell ref="W628:Y628"/>
    <mergeCell ref="W629:Y629"/>
    <mergeCell ref="W630:Y630"/>
    <mergeCell ref="W631:Y631"/>
    <mergeCell ref="AG615:AH615"/>
    <mergeCell ref="Z565:AD565"/>
    <mergeCell ref="Z572:AE572"/>
    <mergeCell ref="N615:O615"/>
    <mergeCell ref="Z432:AA432"/>
    <mergeCell ref="Q487:AK487"/>
    <mergeCell ref="Q486:AK486"/>
    <mergeCell ref="AH502:AK502"/>
    <mergeCell ref="AC499:AK499"/>
    <mergeCell ref="G601:R601"/>
    <mergeCell ref="AI331:AK331"/>
    <mergeCell ref="G611:R611"/>
    <mergeCell ref="W468:Y468"/>
    <mergeCell ref="AI562:AL562"/>
    <mergeCell ref="B503:H508"/>
    <mergeCell ref="O33:P33"/>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W624:Y626"/>
    <mergeCell ref="A69:AT70"/>
    <mergeCell ref="A72:AT73"/>
    <mergeCell ref="A544:AT545"/>
    <mergeCell ref="A480:AT481"/>
    <mergeCell ref="A351:AT352"/>
    <mergeCell ref="A282:AT283"/>
    <mergeCell ref="M630:P630"/>
    <mergeCell ref="A169:AT170"/>
    <mergeCell ref="Q627:S627"/>
    <mergeCell ref="Q628:S628"/>
    <mergeCell ref="Q629:S629"/>
    <mergeCell ref="Q630:S630"/>
    <mergeCell ref="M631:P631"/>
    <mergeCell ref="M632:P632"/>
    <mergeCell ref="AJ1044:AQ1047"/>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C636:L636"/>
    <mergeCell ref="C637:L637"/>
    <mergeCell ref="C638:L638"/>
    <mergeCell ref="P613:R613"/>
    <mergeCell ref="G577:R577"/>
    <mergeCell ref="G594:R594"/>
    <mergeCell ref="U823:X824"/>
    <mergeCell ref="AC633:AE633"/>
    <mergeCell ref="AC634:AE634"/>
    <mergeCell ref="AC635:AE635"/>
    <mergeCell ref="AA573:AK573"/>
    <mergeCell ref="Z594:AK594"/>
    <mergeCell ref="Z806:AE80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89:Q989"/>
    <mergeCell ref="AB988:AI988"/>
    <mergeCell ref="AB989:AI989"/>
    <mergeCell ref="M961:S961"/>
    <mergeCell ref="T742:W742"/>
    <mergeCell ref="B1059:AP1059"/>
    <mergeCell ref="C798:AN799"/>
    <mergeCell ref="U924:Z924"/>
    <mergeCell ref="AA934:AF934"/>
    <mergeCell ref="AA917:AF917"/>
    <mergeCell ref="B746:F746"/>
    <mergeCell ref="B747:F747"/>
    <mergeCell ref="B748:F748"/>
    <mergeCell ref="B749:F749"/>
    <mergeCell ref="B750:F750"/>
    <mergeCell ref="B751:F751"/>
    <mergeCell ref="K751:N751"/>
    <mergeCell ref="O751:S751"/>
    <mergeCell ref="T751:W751"/>
    <mergeCell ref="B742:F742"/>
    <mergeCell ref="B743:F743"/>
    <mergeCell ref="B744:F744"/>
    <mergeCell ref="B745:F745"/>
    <mergeCell ref="AC751:AG751"/>
    <mergeCell ref="K749:N749"/>
    <mergeCell ref="O749:S749"/>
    <mergeCell ref="X751:AB751"/>
    <mergeCell ref="K740:N740"/>
    <mergeCell ref="X732:AB732"/>
    <mergeCell ref="K734:N734"/>
    <mergeCell ref="AC733:AG733"/>
    <mergeCell ref="T749:W749"/>
    <mergeCell ref="K750:N750"/>
    <mergeCell ref="G732:J732"/>
    <mergeCell ref="G737:J737"/>
    <mergeCell ref="G735:J735"/>
    <mergeCell ref="G736:J736"/>
    <mergeCell ref="B737:F737"/>
    <mergeCell ref="K746:N746"/>
    <mergeCell ref="O746:S746"/>
    <mergeCell ref="T746:W746"/>
    <mergeCell ref="K747:N747"/>
    <mergeCell ref="X734:AB734"/>
    <mergeCell ref="X733:AB733"/>
    <mergeCell ref="O750:S750"/>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3" workbookViewId="0">
      <selection activeCell="I16" sqref="I16"/>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72" t="s">
        <v>630</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375</v>
      </c>
      <c r="D2" s="138" t="s">
        <v>374</v>
      </c>
      <c r="E2" s="138" t="s">
        <v>24</v>
      </c>
      <c r="F2" s="139" t="str">
        <f>Application!B627&amp;Application!C627</f>
        <v>1)Citi Community Capital</v>
      </c>
      <c r="G2" s="139" t="str">
        <f>Application!B628&amp;Application!C628</f>
        <v>2)AHSC AHD</v>
      </c>
      <c r="H2" s="139" t="str">
        <f>Application!B629&amp;Application!C629</f>
        <v>3)Deferred Developer Fees</v>
      </c>
      <c r="I2" s="139" t="str">
        <f>Application!B630&amp;Application!C630</f>
        <v>4)GP- Dev Fee Contribution</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3000000</v>
      </c>
      <c r="C4" s="147">
        <v>3000000</v>
      </c>
      <c r="D4" s="147"/>
      <c r="E4" s="147"/>
      <c r="F4" s="147">
        <f>C4</f>
        <v>3000000</v>
      </c>
      <c r="G4" s="147"/>
      <c r="H4" s="147"/>
      <c r="I4" s="147"/>
      <c r="J4" s="147"/>
      <c r="K4" s="147"/>
      <c r="L4" s="147"/>
      <c r="M4" s="147"/>
      <c r="N4" s="147"/>
      <c r="O4" s="147"/>
      <c r="P4" s="147"/>
      <c r="Q4" s="147"/>
      <c r="R4" s="550">
        <f>SUM(E4:Q4)</f>
        <v>3000000</v>
      </c>
      <c r="S4" s="148"/>
      <c r="T4" s="148"/>
      <c r="U4" s="143"/>
    </row>
    <row r="5" spans="1:21" s="144" customFormat="1">
      <c r="A5" s="145" t="s">
        <v>28</v>
      </c>
      <c r="B5" s="146">
        <f>SUM(C5+D5)</f>
        <v>50000</v>
      </c>
      <c r="C5" s="147">
        <v>50000</v>
      </c>
      <c r="D5" s="147"/>
      <c r="E5" s="147"/>
      <c r="F5" s="147">
        <f>C5</f>
        <v>50000</v>
      </c>
      <c r="G5" s="147"/>
      <c r="H5" s="147"/>
      <c r="I5" s="147"/>
      <c r="J5" s="147"/>
      <c r="K5" s="147"/>
      <c r="L5" s="147"/>
      <c r="M5" s="147"/>
      <c r="N5" s="147"/>
      <c r="O5" s="147"/>
      <c r="P5" s="147"/>
      <c r="Q5" s="147"/>
      <c r="R5" s="550">
        <f>SUM(E5:Q5)</f>
        <v>50000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3050000</v>
      </c>
      <c r="C8" s="146">
        <f t="shared" ref="C8:Q8" si="0">SUM(C4:C7)</f>
        <v>3050000</v>
      </c>
      <c r="D8" s="146">
        <f t="shared" si="0"/>
        <v>0</v>
      </c>
      <c r="E8" s="146">
        <f t="shared" si="0"/>
        <v>0</v>
      </c>
      <c r="F8" s="146">
        <f t="shared" si="0"/>
        <v>3050000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3050000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1336478</v>
      </c>
      <c r="C10" s="147">
        <v>1336478</v>
      </c>
      <c r="D10" s="147"/>
      <c r="E10" s="147">
        <f>C10</f>
        <v>1336478</v>
      </c>
      <c r="F10" s="147"/>
      <c r="G10" s="147"/>
      <c r="H10" s="147"/>
      <c r="I10" s="147"/>
      <c r="J10" s="147"/>
      <c r="K10" s="147"/>
      <c r="L10" s="147"/>
      <c r="M10" s="147"/>
      <c r="N10" s="147"/>
      <c r="O10" s="147"/>
      <c r="P10" s="147"/>
      <c r="Q10" s="147"/>
      <c r="R10" s="550">
        <f>SUM(E10:Q10)</f>
        <v>1336478</v>
      </c>
      <c r="S10" s="147">
        <f>C10</f>
        <v>1336478</v>
      </c>
      <c r="T10" s="147"/>
      <c r="U10" s="143"/>
    </row>
    <row r="11" spans="1:21" s="144" customFormat="1">
      <c r="A11" s="149" t="s">
        <v>605</v>
      </c>
      <c r="B11" s="146">
        <f>SUM(C11:D11)</f>
        <v>1336478</v>
      </c>
      <c r="C11" s="146">
        <f t="shared" ref="C11:Q11" si="1">SUM(C9:C10)</f>
        <v>1336478</v>
      </c>
      <c r="D11" s="146">
        <f t="shared" si="1"/>
        <v>0</v>
      </c>
      <c r="E11" s="146">
        <f t="shared" si="1"/>
        <v>1336478</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1336478</v>
      </c>
      <c r="S11" s="148"/>
      <c r="T11" s="150">
        <f>SUM(T9:T10)</f>
        <v>0</v>
      </c>
      <c r="U11" s="143"/>
    </row>
    <row r="12" spans="1:21" s="144" customFormat="1">
      <c r="A12" s="149" t="s">
        <v>84</v>
      </c>
      <c r="B12" s="146">
        <f t="shared" ref="B12:Q12" si="2">SUM(B8+B11)</f>
        <v>4386478</v>
      </c>
      <c r="C12" s="146">
        <f t="shared" si="2"/>
        <v>4386478</v>
      </c>
      <c r="D12" s="146">
        <f t="shared" si="2"/>
        <v>0</v>
      </c>
      <c r="E12" s="146">
        <f t="shared" si="2"/>
        <v>1336478</v>
      </c>
      <c r="F12" s="146">
        <f t="shared" si="2"/>
        <v>3050000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4386478</v>
      </c>
      <c r="S12" s="148"/>
      <c r="T12" s="148"/>
      <c r="U12" s="143"/>
    </row>
    <row r="13" spans="1:21" s="144" customFormat="1">
      <c r="A13" s="309" t="s">
        <v>918</v>
      </c>
      <c r="B13" s="146">
        <f>SUM(C13+D13)</f>
        <v>450000</v>
      </c>
      <c r="C13" s="147">
        <v>450000</v>
      </c>
      <c r="D13" s="147"/>
      <c r="E13" s="147">
        <f>C13</f>
        <v>450000</v>
      </c>
      <c r="F13" s="147"/>
      <c r="G13" s="147"/>
      <c r="H13" s="147"/>
      <c r="I13" s="147"/>
      <c r="J13" s="147"/>
      <c r="K13" s="147"/>
      <c r="L13" s="147"/>
      <c r="M13" s="147"/>
      <c r="N13" s="147"/>
      <c r="O13" s="147"/>
      <c r="P13" s="147"/>
      <c r="Q13" s="147"/>
      <c r="R13" s="550">
        <f>SUM(E13:Q13)</f>
        <v>450000</v>
      </c>
      <c r="S13" s="147"/>
      <c r="T13" s="147"/>
      <c r="U13" s="143"/>
    </row>
    <row r="14" spans="1:21" s="144" customFormat="1" ht="23">
      <c r="A14" s="310" t="s">
        <v>1756</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1753</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2747</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729424</v>
      </c>
      <c r="C29" s="147">
        <v>729424</v>
      </c>
      <c r="D29" s="147"/>
      <c r="E29" s="147"/>
      <c r="F29" s="147">
        <f>C29</f>
        <v>729424</v>
      </c>
      <c r="G29" s="147"/>
      <c r="H29" s="147"/>
      <c r="I29" s="147"/>
      <c r="J29" s="147"/>
      <c r="K29" s="147"/>
      <c r="L29" s="147"/>
      <c r="M29" s="147"/>
      <c r="N29" s="147"/>
      <c r="O29" s="147"/>
      <c r="P29" s="147"/>
      <c r="Q29" s="147"/>
      <c r="R29" s="550">
        <f t="shared" ref="R29:R37" si="7">SUM(E29:Q29)</f>
        <v>729424</v>
      </c>
      <c r="S29" s="147">
        <f>B29-B29*(1581/90923)</f>
        <v>716740.5277872486</v>
      </c>
      <c r="T29" s="147"/>
      <c r="U29" s="143"/>
    </row>
    <row r="30" spans="1:21" s="144" customFormat="1">
      <c r="A30" s="145" t="s">
        <v>608</v>
      </c>
      <c r="B30" s="146">
        <f t="shared" si="6"/>
        <v>44492221</v>
      </c>
      <c r="C30" s="147">
        <f>45828699-C10</f>
        <v>44492221</v>
      </c>
      <c r="D30" s="147"/>
      <c r="E30" s="147">
        <f>C30-SUM(F30:G30)</f>
        <v>1853645</v>
      </c>
      <c r="F30" s="147">
        <f>Application!AO627-F4-F5-F29</f>
        <v>7800576</v>
      </c>
      <c r="G30" s="147">
        <f>35000000-G76</f>
        <v>34838000</v>
      </c>
      <c r="H30" s="147"/>
      <c r="I30" s="147"/>
      <c r="J30" s="147"/>
      <c r="K30" s="147"/>
      <c r="L30" s="147"/>
      <c r="M30" s="147"/>
      <c r="N30" s="147"/>
      <c r="O30" s="147"/>
      <c r="P30" s="147"/>
      <c r="Q30" s="147"/>
      <c r="R30" s="550">
        <f t="shared" si="7"/>
        <v>44492221</v>
      </c>
      <c r="S30" s="147">
        <f t="shared" ref="S30:S37" si="8">B30-B30*(1581/90923)</f>
        <v>43718575.152403682</v>
      </c>
      <c r="T30" s="147"/>
      <c r="U30" s="143"/>
    </row>
    <row r="31" spans="1:21" s="144" customFormat="1">
      <c r="A31" s="145" t="s">
        <v>609</v>
      </c>
      <c r="B31" s="146">
        <f t="shared" si="6"/>
        <v>2805239</v>
      </c>
      <c r="C31" s="147">
        <v>2805239</v>
      </c>
      <c r="D31" s="147"/>
      <c r="E31" s="147">
        <f>B31</f>
        <v>2805239</v>
      </c>
      <c r="F31" s="147"/>
      <c r="G31" s="147"/>
      <c r="H31" s="147"/>
      <c r="I31" s="147"/>
      <c r="J31" s="147"/>
      <c r="K31" s="147"/>
      <c r="L31" s="147"/>
      <c r="M31" s="147"/>
      <c r="N31" s="147"/>
      <c r="O31" s="147"/>
      <c r="P31" s="147"/>
      <c r="Q31" s="147"/>
      <c r="R31" s="550">
        <f t="shared" si="7"/>
        <v>2805239</v>
      </c>
      <c r="S31" s="147">
        <f t="shared" si="8"/>
        <v>2756460.551653597</v>
      </c>
      <c r="T31" s="147"/>
      <c r="U31" s="143"/>
    </row>
    <row r="32" spans="1:21" s="144" customFormat="1">
      <c r="A32" s="145" t="s">
        <v>137</v>
      </c>
      <c r="B32" s="146">
        <f t="shared" si="6"/>
        <v>935019</v>
      </c>
      <c r="C32" s="147">
        <f>3740259-C31-1</f>
        <v>935019</v>
      </c>
      <c r="D32" s="147"/>
      <c r="E32" s="147">
        <f t="shared" ref="E32:E33" si="9">B32</f>
        <v>935019</v>
      </c>
      <c r="F32" s="147"/>
      <c r="G32" s="147"/>
      <c r="H32" s="147"/>
      <c r="I32" s="147"/>
      <c r="J32" s="147"/>
      <c r="K32" s="147"/>
      <c r="L32" s="147"/>
      <c r="M32" s="147"/>
      <c r="N32" s="147"/>
      <c r="O32" s="147"/>
      <c r="P32" s="147"/>
      <c r="Q32" s="147"/>
      <c r="R32" s="550">
        <f t="shared" si="7"/>
        <v>935019</v>
      </c>
      <c r="S32" s="147">
        <f t="shared" si="8"/>
        <v>918760.57211046712</v>
      </c>
      <c r="T32" s="147"/>
      <c r="U32" s="143"/>
    </row>
    <row r="33" spans="1:21" s="144" customFormat="1">
      <c r="A33" s="145" t="s">
        <v>138</v>
      </c>
      <c r="B33" s="146">
        <f t="shared" si="6"/>
        <v>2805239</v>
      </c>
      <c r="C33" s="147">
        <f>C31</f>
        <v>2805239</v>
      </c>
      <c r="D33" s="147"/>
      <c r="E33" s="147">
        <f t="shared" si="9"/>
        <v>2805239</v>
      </c>
      <c r="F33" s="147"/>
      <c r="G33" s="147"/>
      <c r="H33" s="147"/>
      <c r="I33" s="147"/>
      <c r="J33" s="147"/>
      <c r="K33" s="147"/>
      <c r="L33" s="147"/>
      <c r="M33" s="147"/>
      <c r="N33" s="147"/>
      <c r="O33" s="147"/>
      <c r="P33" s="147"/>
      <c r="Q33" s="147"/>
      <c r="R33" s="550">
        <f t="shared" si="7"/>
        <v>2805239</v>
      </c>
      <c r="S33" s="147">
        <f t="shared" si="8"/>
        <v>2756460.551653597</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373678</v>
      </c>
      <c r="C35" s="147">
        <v>373678</v>
      </c>
      <c r="D35" s="147"/>
      <c r="E35" s="147">
        <f t="shared" ref="E35:E36" si="10">B35</f>
        <v>373678</v>
      </c>
      <c r="F35" s="147"/>
      <c r="G35" s="147"/>
      <c r="H35" s="147"/>
      <c r="I35" s="147"/>
      <c r="J35" s="147"/>
      <c r="K35" s="147"/>
      <c r="L35" s="147"/>
      <c r="M35" s="147"/>
      <c r="N35" s="147"/>
      <c r="O35" s="147"/>
      <c r="P35" s="147"/>
      <c r="Q35" s="147"/>
      <c r="R35" s="550">
        <f t="shared" si="7"/>
        <v>373678</v>
      </c>
      <c r="S35" s="147">
        <f t="shared" si="8"/>
        <v>367180.36004091374</v>
      </c>
      <c r="T35" s="147"/>
      <c r="U35" s="143"/>
    </row>
    <row r="36" spans="1:21" s="144" customFormat="1">
      <c r="A36" s="304" t="s">
        <v>1753</v>
      </c>
      <c r="B36" s="146">
        <f t="shared" si="6"/>
        <v>48000</v>
      </c>
      <c r="C36" s="147">
        <v>48000</v>
      </c>
      <c r="D36" s="147"/>
      <c r="E36" s="147">
        <f t="shared" si="10"/>
        <v>48000</v>
      </c>
      <c r="F36" s="147"/>
      <c r="G36" s="147"/>
      <c r="H36" s="147"/>
      <c r="I36" s="147"/>
      <c r="J36" s="147"/>
      <c r="K36" s="147"/>
      <c r="L36" s="147"/>
      <c r="M36" s="147"/>
      <c r="N36" s="147"/>
      <c r="O36" s="147"/>
      <c r="P36" s="147"/>
      <c r="Q36" s="147"/>
      <c r="R36" s="550">
        <f t="shared" si="7"/>
        <v>48000</v>
      </c>
      <c r="S36" s="147">
        <f t="shared" si="8"/>
        <v>47165.359699965906</v>
      </c>
      <c r="T36" s="147"/>
      <c r="U36" s="143"/>
    </row>
    <row r="37" spans="1:21" s="144" customFormat="1">
      <c r="A37" s="1193" t="s">
        <v>2760</v>
      </c>
      <c r="B37" s="146">
        <f t="shared" si="6"/>
        <v>0</v>
      </c>
      <c r="C37" s="147"/>
      <c r="D37" s="147"/>
      <c r="E37" s="147"/>
      <c r="F37" s="147"/>
      <c r="G37" s="147"/>
      <c r="H37" s="147"/>
      <c r="I37" s="147"/>
      <c r="J37" s="147"/>
      <c r="K37" s="147"/>
      <c r="L37" s="147"/>
      <c r="M37" s="147"/>
      <c r="N37" s="147"/>
      <c r="O37" s="147"/>
      <c r="P37" s="147"/>
      <c r="Q37" s="147"/>
      <c r="R37" s="550">
        <f t="shared" si="7"/>
        <v>0</v>
      </c>
      <c r="S37" s="147">
        <f t="shared" si="8"/>
        <v>0</v>
      </c>
      <c r="T37" s="147"/>
      <c r="U37" s="143"/>
    </row>
    <row r="38" spans="1:21" s="144" customFormat="1">
      <c r="A38" s="149" t="s">
        <v>143</v>
      </c>
      <c r="B38" s="146">
        <f t="shared" si="6"/>
        <v>52188820</v>
      </c>
      <c r="C38" s="146">
        <f>SUM(C29:C37)</f>
        <v>52188820</v>
      </c>
      <c r="D38" s="146">
        <f t="shared" ref="D38:Q38" si="11">SUM(D29:D37)</f>
        <v>0</v>
      </c>
      <c r="E38" s="146">
        <f t="shared" si="11"/>
        <v>8820820</v>
      </c>
      <c r="F38" s="146">
        <f t="shared" si="11"/>
        <v>8530000</v>
      </c>
      <c r="G38" s="146">
        <f t="shared" si="11"/>
        <v>34838000</v>
      </c>
      <c r="H38" s="146">
        <f t="shared" si="11"/>
        <v>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SUM(R29:R37)</f>
        <v>52188820</v>
      </c>
      <c r="S38" s="150">
        <f>SUM(S29:S37)</f>
        <v>51281343.075349458</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1387810</v>
      </c>
      <c r="C40" s="147">
        <v>1387810</v>
      </c>
      <c r="D40" s="147"/>
      <c r="E40" s="147">
        <f t="shared" ref="E40:E41" si="12">B40</f>
        <v>1387810</v>
      </c>
      <c r="F40" s="147"/>
      <c r="G40" s="147"/>
      <c r="H40" s="147"/>
      <c r="I40" s="147"/>
      <c r="J40" s="147"/>
      <c r="K40" s="147"/>
      <c r="L40" s="147"/>
      <c r="M40" s="147"/>
      <c r="N40" s="147"/>
      <c r="O40" s="147"/>
      <c r="P40" s="147"/>
      <c r="Q40" s="147"/>
      <c r="R40" s="550">
        <f>SUM(E40:Q40)</f>
        <v>1387810</v>
      </c>
      <c r="S40" s="147">
        <f t="shared" ref="S40:S41" si="13">B40-B40*(1581/90923)</f>
        <v>1363678.2884418685</v>
      </c>
      <c r="T40" s="147"/>
      <c r="U40" s="143"/>
    </row>
    <row r="41" spans="1:21" s="144" customFormat="1">
      <c r="A41" s="145" t="s">
        <v>146</v>
      </c>
      <c r="B41" s="146">
        <f>SUM(C41+D41)</f>
        <v>573000</v>
      </c>
      <c r="C41" s="147">
        <v>573000</v>
      </c>
      <c r="D41" s="147"/>
      <c r="E41" s="147">
        <f t="shared" si="12"/>
        <v>573000</v>
      </c>
      <c r="F41" s="147"/>
      <c r="G41" s="147"/>
      <c r="H41" s="147"/>
      <c r="I41" s="147"/>
      <c r="J41" s="147"/>
      <c r="K41" s="147"/>
      <c r="L41" s="147"/>
      <c r="M41" s="147"/>
      <c r="N41" s="147"/>
      <c r="O41" s="147"/>
      <c r="P41" s="147"/>
      <c r="Q41" s="147"/>
      <c r="R41" s="550">
        <f>SUM(E41:Q41)</f>
        <v>573000</v>
      </c>
      <c r="S41" s="147">
        <f t="shared" si="13"/>
        <v>563036.48141834303</v>
      </c>
      <c r="T41" s="147"/>
      <c r="U41" s="143"/>
    </row>
    <row r="42" spans="1:21" s="144" customFormat="1">
      <c r="A42" s="149" t="s">
        <v>147</v>
      </c>
      <c r="B42" s="146">
        <f>SUM(C42:D42)</f>
        <v>1960810</v>
      </c>
      <c r="C42" s="146">
        <f>SUM(C39:C41)</f>
        <v>1960810</v>
      </c>
      <c r="D42" s="146">
        <f>SUM(D39:D41)</f>
        <v>0</v>
      </c>
      <c r="E42" s="146">
        <f t="shared" ref="E42:T42" si="14">SUM(E40:E41)</f>
        <v>1960810</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1960810</v>
      </c>
      <c r="S42" s="150">
        <f t="shared" si="14"/>
        <v>1926714.7698602115</v>
      </c>
      <c r="T42" s="150">
        <f t="shared" si="14"/>
        <v>0</v>
      </c>
      <c r="U42" s="143"/>
    </row>
    <row r="43" spans="1:21" s="144" customFormat="1">
      <c r="A43" s="149" t="s">
        <v>148</v>
      </c>
      <c r="B43" s="146">
        <f>SUM(C43:D43)</f>
        <v>325000</v>
      </c>
      <c r="C43" s="147">
        <v>325000</v>
      </c>
      <c r="D43" s="147"/>
      <c r="E43" s="147">
        <f>B43</f>
        <v>325000</v>
      </c>
      <c r="F43" s="147"/>
      <c r="G43" s="147"/>
      <c r="H43" s="147"/>
      <c r="I43" s="147"/>
      <c r="J43" s="147"/>
      <c r="K43" s="147"/>
      <c r="L43" s="147"/>
      <c r="M43" s="147"/>
      <c r="N43" s="147"/>
      <c r="O43" s="147"/>
      <c r="P43" s="147"/>
      <c r="Q43" s="147"/>
      <c r="R43" s="550">
        <f>SUM(E43:Q43)</f>
        <v>325000</v>
      </c>
      <c r="S43" s="147">
        <f t="shared" ref="S43" si="15">B43-B43*(1581/90923)</f>
        <v>319348.78963518579</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9802680</v>
      </c>
      <c r="C45" s="147">
        <v>9802680</v>
      </c>
      <c r="D45" s="147"/>
      <c r="E45" s="147">
        <f t="shared" ref="E45:E46" si="17">B45</f>
        <v>9802680</v>
      </c>
      <c r="F45" s="147"/>
      <c r="G45" s="147"/>
      <c r="H45" s="147"/>
      <c r="I45" s="147"/>
      <c r="J45" s="147"/>
      <c r="K45" s="147"/>
      <c r="L45" s="147"/>
      <c r="M45" s="147"/>
      <c r="N45" s="147"/>
      <c r="O45" s="147"/>
      <c r="P45" s="147"/>
      <c r="Q45" s="147"/>
      <c r="R45" s="550">
        <f t="shared" ref="R45:R53" si="18">SUM(E45:Q45)</f>
        <v>9802680</v>
      </c>
      <c r="S45" s="147">
        <f>6535091+13026-15</f>
        <v>6548102</v>
      </c>
      <c r="T45" s="147"/>
      <c r="U45" s="143"/>
    </row>
    <row r="46" spans="1:21" s="144" customFormat="1">
      <c r="A46" s="145" t="s">
        <v>151</v>
      </c>
      <c r="B46" s="146">
        <f t="shared" si="16"/>
        <v>460627</v>
      </c>
      <c r="C46" s="147">
        <v>460627</v>
      </c>
      <c r="D46" s="147"/>
      <c r="E46" s="147">
        <f t="shared" si="17"/>
        <v>460627</v>
      </c>
      <c r="F46" s="147"/>
      <c r="G46" s="147"/>
      <c r="H46" s="147"/>
      <c r="I46" s="147"/>
      <c r="J46" s="147"/>
      <c r="K46" s="147"/>
      <c r="L46" s="147"/>
      <c r="M46" s="147"/>
      <c r="N46" s="147"/>
      <c r="O46" s="147"/>
      <c r="P46" s="147"/>
      <c r="Q46" s="147"/>
      <c r="R46" s="550">
        <f t="shared" si="18"/>
        <v>460627</v>
      </c>
      <c r="S46" s="147">
        <f>R46</f>
        <v>460627</v>
      </c>
      <c r="T46" s="147"/>
      <c r="U46" s="143"/>
    </row>
    <row r="47" spans="1:21" s="144" customFormat="1">
      <c r="A47" s="198" t="s">
        <v>152</v>
      </c>
      <c r="B47" s="146">
        <f t="shared" si="16"/>
        <v>0</v>
      </c>
      <c r="C47" s="147"/>
      <c r="D47" s="147"/>
      <c r="E47" s="147"/>
      <c r="F47" s="147"/>
      <c r="G47" s="147"/>
      <c r="H47" s="147"/>
      <c r="I47" s="147"/>
      <c r="J47" s="147"/>
      <c r="K47" s="147"/>
      <c r="L47" s="147"/>
      <c r="M47" s="147"/>
      <c r="N47" s="147"/>
      <c r="O47" s="147"/>
      <c r="P47" s="147"/>
      <c r="Q47" s="147"/>
      <c r="R47" s="550">
        <f t="shared" si="18"/>
        <v>0</v>
      </c>
      <c r="S47" s="147"/>
      <c r="T47" s="147"/>
      <c r="U47" s="143"/>
    </row>
    <row r="48" spans="1:21" s="144" customFormat="1">
      <c r="A48" s="145" t="s">
        <v>153</v>
      </c>
      <c r="B48" s="146">
        <f t="shared" si="16"/>
        <v>0</v>
      </c>
      <c r="C48" s="147"/>
      <c r="D48" s="147"/>
      <c r="E48" s="147"/>
      <c r="F48" s="147"/>
      <c r="G48" s="147"/>
      <c r="H48" s="147"/>
      <c r="I48" s="147"/>
      <c r="J48" s="147"/>
      <c r="K48" s="147"/>
      <c r="L48" s="147"/>
      <c r="M48" s="147"/>
      <c r="N48" s="147"/>
      <c r="O48" s="147"/>
      <c r="P48" s="147"/>
      <c r="Q48" s="147"/>
      <c r="R48" s="550">
        <f t="shared" si="18"/>
        <v>0</v>
      </c>
      <c r="S48" s="147"/>
      <c r="T48" s="147"/>
      <c r="U48" s="143"/>
    </row>
    <row r="49" spans="1:21" s="144" customFormat="1">
      <c r="A49" s="145" t="s">
        <v>57</v>
      </c>
      <c r="B49" s="146">
        <f t="shared" si="16"/>
        <v>0</v>
      </c>
      <c r="C49" s="147"/>
      <c r="D49" s="147"/>
      <c r="E49" s="147"/>
      <c r="F49" s="147"/>
      <c r="G49" s="147"/>
      <c r="H49" s="147"/>
      <c r="I49" s="147"/>
      <c r="J49" s="147"/>
      <c r="K49" s="147"/>
      <c r="L49" s="147"/>
      <c r="M49" s="147"/>
      <c r="N49" s="147"/>
      <c r="O49" s="147"/>
      <c r="P49" s="147"/>
      <c r="Q49" s="147"/>
      <c r="R49" s="550">
        <f t="shared" si="18"/>
        <v>0</v>
      </c>
      <c r="S49" s="147"/>
      <c r="T49" s="147"/>
      <c r="U49" s="143"/>
    </row>
    <row r="50" spans="1:21" s="144" customFormat="1">
      <c r="A50" s="145" t="s">
        <v>156</v>
      </c>
      <c r="B50" s="146">
        <f t="shared" si="16"/>
        <v>46000</v>
      </c>
      <c r="C50" s="147">
        <v>46000</v>
      </c>
      <c r="D50" s="147"/>
      <c r="E50" s="147">
        <f t="shared" ref="E50:E52" si="19">B50</f>
        <v>46000</v>
      </c>
      <c r="F50" s="147"/>
      <c r="G50" s="147"/>
      <c r="H50" s="147"/>
      <c r="I50" s="147"/>
      <c r="J50" s="147"/>
      <c r="K50" s="147"/>
      <c r="L50" s="147"/>
      <c r="M50" s="147"/>
      <c r="N50" s="147"/>
      <c r="O50" s="147"/>
      <c r="P50" s="147"/>
      <c r="Q50" s="147"/>
      <c r="R50" s="550">
        <f t="shared" si="18"/>
        <v>46000</v>
      </c>
      <c r="S50" s="147">
        <f t="shared" ref="S50:S52" si="20">R50</f>
        <v>46000</v>
      </c>
      <c r="T50" s="147"/>
      <c r="U50" s="143"/>
    </row>
    <row r="51" spans="1:21" s="144" customFormat="1">
      <c r="A51" s="304" t="s">
        <v>154</v>
      </c>
      <c r="B51" s="146">
        <f t="shared" si="16"/>
        <v>272132</v>
      </c>
      <c r="C51" s="147">
        <f>274576-2444</f>
        <v>272132</v>
      </c>
      <c r="D51" s="147"/>
      <c r="E51" s="147">
        <f t="shared" si="19"/>
        <v>272132</v>
      </c>
      <c r="F51" s="147"/>
      <c r="G51" s="147"/>
      <c r="H51" s="147"/>
      <c r="I51" s="147"/>
      <c r="J51" s="147"/>
      <c r="K51" s="147"/>
      <c r="L51" s="147"/>
      <c r="M51" s="147"/>
      <c r="N51" s="147"/>
      <c r="O51" s="147"/>
      <c r="P51" s="147"/>
      <c r="Q51" s="147"/>
      <c r="R51" s="550">
        <f t="shared" si="18"/>
        <v>272132</v>
      </c>
      <c r="S51" s="147">
        <f t="shared" si="20"/>
        <v>272132</v>
      </c>
      <c r="T51" s="147"/>
      <c r="U51" s="143"/>
    </row>
    <row r="52" spans="1:21" s="144" customFormat="1">
      <c r="A52" s="145" t="s">
        <v>155</v>
      </c>
      <c r="B52" s="146">
        <f t="shared" si="16"/>
        <v>1684233</v>
      </c>
      <c r="C52" s="147">
        <f>1612633+71600</f>
        <v>1684233</v>
      </c>
      <c r="D52" s="147"/>
      <c r="E52" s="147">
        <f t="shared" si="19"/>
        <v>1684233</v>
      </c>
      <c r="F52" s="147"/>
      <c r="G52" s="147"/>
      <c r="H52" s="147"/>
      <c r="I52" s="147"/>
      <c r="J52" s="147"/>
      <c r="K52" s="147"/>
      <c r="L52" s="147"/>
      <c r="M52" s="147"/>
      <c r="N52" s="147"/>
      <c r="O52" s="147"/>
      <c r="P52" s="147"/>
      <c r="Q52" s="147"/>
      <c r="R52" s="550">
        <f t="shared" si="18"/>
        <v>1684233</v>
      </c>
      <c r="S52" s="147">
        <f t="shared" si="20"/>
        <v>1684233</v>
      </c>
      <c r="T52" s="147"/>
      <c r="U52" s="143"/>
    </row>
    <row r="53" spans="1:21" s="144" customFormat="1">
      <c r="A53" s="1193" t="s">
        <v>34</v>
      </c>
      <c r="B53" s="146">
        <f t="shared" si="16"/>
        <v>0</v>
      </c>
      <c r="C53" s="147"/>
      <c r="D53" s="147"/>
      <c r="E53" s="147"/>
      <c r="F53" s="147"/>
      <c r="G53" s="147"/>
      <c r="H53" s="147"/>
      <c r="I53" s="147"/>
      <c r="J53" s="147"/>
      <c r="K53" s="147"/>
      <c r="L53" s="147"/>
      <c r="M53" s="147"/>
      <c r="N53" s="147"/>
      <c r="O53" s="147"/>
      <c r="P53" s="147"/>
      <c r="Q53" s="147"/>
      <c r="R53" s="550">
        <f t="shared" si="18"/>
        <v>0</v>
      </c>
      <c r="S53" s="147"/>
      <c r="T53" s="147"/>
      <c r="U53" s="143"/>
    </row>
    <row r="54" spans="1:21" s="153" customFormat="1">
      <c r="A54" s="149" t="s">
        <v>157</v>
      </c>
      <c r="B54" s="150">
        <f>SUM(C54:D54)</f>
        <v>12265672</v>
      </c>
      <c r="C54" s="150">
        <f t="shared" ref="C54:T54" si="21">SUM(C45:C53)</f>
        <v>12265672</v>
      </c>
      <c r="D54" s="150">
        <f t="shared" si="21"/>
        <v>0</v>
      </c>
      <c r="E54" s="150">
        <f t="shared" si="21"/>
        <v>12265672</v>
      </c>
      <c r="F54" s="150">
        <f t="shared" si="21"/>
        <v>0</v>
      </c>
      <c r="G54" s="150">
        <f t="shared" si="21"/>
        <v>0</v>
      </c>
      <c r="H54" s="150">
        <f t="shared" si="21"/>
        <v>0</v>
      </c>
      <c r="I54" s="150">
        <f t="shared" si="21"/>
        <v>0</v>
      </c>
      <c r="J54" s="150">
        <f t="shared" si="21"/>
        <v>0</v>
      </c>
      <c r="K54" s="150">
        <f t="shared" si="21"/>
        <v>0</v>
      </c>
      <c r="L54" s="150">
        <f t="shared" si="21"/>
        <v>0</v>
      </c>
      <c r="M54" s="150">
        <f t="shared" si="21"/>
        <v>0</v>
      </c>
      <c r="N54" s="150">
        <f t="shared" si="21"/>
        <v>0</v>
      </c>
      <c r="O54" s="150">
        <f t="shared" si="21"/>
        <v>0</v>
      </c>
      <c r="P54" s="150">
        <f t="shared" si="21"/>
        <v>0</v>
      </c>
      <c r="Q54" s="150">
        <f t="shared" si="21"/>
        <v>0</v>
      </c>
      <c r="R54" s="370">
        <f t="shared" si="21"/>
        <v>12265672</v>
      </c>
      <c r="S54" s="150">
        <f t="shared" si="21"/>
        <v>9011094</v>
      </c>
      <c r="T54" s="150">
        <f t="shared" si="21"/>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2">SUM(C56+D56)</f>
        <v>115900</v>
      </c>
      <c r="C56" s="147">
        <v>115900</v>
      </c>
      <c r="D56" s="147"/>
      <c r="E56" s="147">
        <f t="shared" ref="E56:E61" si="23">B56</f>
        <v>115900</v>
      </c>
      <c r="F56" s="147"/>
      <c r="G56" s="147"/>
      <c r="H56" s="147"/>
      <c r="I56" s="147"/>
      <c r="J56" s="147"/>
      <c r="K56" s="147"/>
      <c r="L56" s="147"/>
      <c r="M56" s="147"/>
      <c r="N56" s="147"/>
      <c r="O56" s="147"/>
      <c r="P56" s="147"/>
      <c r="Q56" s="147"/>
      <c r="R56" s="550">
        <f t="shared" ref="R56:R61" si="24">SUM(E56:Q56)</f>
        <v>115900</v>
      </c>
      <c r="S56" s="148"/>
      <c r="T56" s="148"/>
      <c r="U56" s="143"/>
    </row>
    <row r="57" spans="1:21" s="204" customFormat="1">
      <c r="A57" s="198" t="s">
        <v>152</v>
      </c>
      <c r="B57" s="205">
        <f t="shared" si="22"/>
        <v>0</v>
      </c>
      <c r="C57" s="202"/>
      <c r="D57" s="202"/>
      <c r="E57" s="202">
        <f t="shared" si="23"/>
        <v>0</v>
      </c>
      <c r="F57" s="202"/>
      <c r="G57" s="202"/>
      <c r="H57" s="202"/>
      <c r="I57" s="202"/>
      <c r="J57" s="202"/>
      <c r="K57" s="202"/>
      <c r="L57" s="202"/>
      <c r="M57" s="202"/>
      <c r="N57" s="202"/>
      <c r="O57" s="202"/>
      <c r="P57" s="202"/>
      <c r="Q57" s="202"/>
      <c r="R57" s="550">
        <f t="shared" si="24"/>
        <v>0</v>
      </c>
      <c r="S57" s="206"/>
      <c r="T57" s="206"/>
      <c r="U57" s="203"/>
    </row>
    <row r="58" spans="1:21" s="144" customFormat="1">
      <c r="A58" s="145" t="s">
        <v>156</v>
      </c>
      <c r="B58" s="146">
        <f t="shared" si="22"/>
        <v>25000</v>
      </c>
      <c r="C58" s="147">
        <v>25000</v>
      </c>
      <c r="D58" s="147"/>
      <c r="E58" s="147">
        <f t="shared" si="23"/>
        <v>25000</v>
      </c>
      <c r="F58" s="147"/>
      <c r="G58" s="147"/>
      <c r="H58" s="147"/>
      <c r="I58" s="147"/>
      <c r="J58" s="147"/>
      <c r="K58" s="147"/>
      <c r="L58" s="147"/>
      <c r="M58" s="147"/>
      <c r="N58" s="147"/>
      <c r="O58" s="147"/>
      <c r="P58" s="147"/>
      <c r="Q58" s="147"/>
      <c r="R58" s="550">
        <f t="shared" si="24"/>
        <v>25000</v>
      </c>
      <c r="S58" s="148"/>
      <c r="T58" s="148"/>
      <c r="U58" s="143"/>
    </row>
    <row r="59" spans="1:21" s="144" customFormat="1">
      <c r="A59" s="304" t="s">
        <v>154</v>
      </c>
      <c r="B59" s="146">
        <f t="shared" si="22"/>
        <v>0</v>
      </c>
      <c r="C59" s="147"/>
      <c r="D59" s="147"/>
      <c r="E59" s="147">
        <f t="shared" si="23"/>
        <v>0</v>
      </c>
      <c r="F59" s="147"/>
      <c r="G59" s="147"/>
      <c r="H59" s="147"/>
      <c r="I59" s="147"/>
      <c r="J59" s="147"/>
      <c r="K59" s="147"/>
      <c r="L59" s="147"/>
      <c r="M59" s="147"/>
      <c r="N59" s="147"/>
      <c r="O59" s="147"/>
      <c r="P59" s="147"/>
      <c r="Q59" s="147"/>
      <c r="R59" s="550">
        <f t="shared" si="24"/>
        <v>0</v>
      </c>
      <c r="S59" s="148"/>
      <c r="T59" s="148"/>
      <c r="U59" s="143"/>
    </row>
    <row r="60" spans="1:21" s="144" customFormat="1">
      <c r="A60" s="145" t="s">
        <v>155</v>
      </c>
      <c r="B60" s="146">
        <f t="shared" si="22"/>
        <v>119220</v>
      </c>
      <c r="C60" s="147">
        <f>119220</f>
        <v>119220</v>
      </c>
      <c r="D60" s="147"/>
      <c r="E60" s="147">
        <f t="shared" si="23"/>
        <v>119220</v>
      </c>
      <c r="F60" s="147"/>
      <c r="G60" s="147"/>
      <c r="H60" s="147"/>
      <c r="I60" s="147"/>
      <c r="J60" s="147"/>
      <c r="K60" s="147"/>
      <c r="L60" s="147"/>
      <c r="M60" s="147"/>
      <c r="N60" s="147"/>
      <c r="O60" s="147"/>
      <c r="P60" s="147"/>
      <c r="Q60" s="147"/>
      <c r="R60" s="550">
        <f t="shared" si="24"/>
        <v>119220</v>
      </c>
      <c r="S60" s="148"/>
      <c r="T60" s="148"/>
      <c r="U60" s="143"/>
    </row>
    <row r="61" spans="1:21" s="144" customFormat="1">
      <c r="A61" s="1193" t="s">
        <v>2749</v>
      </c>
      <c r="B61" s="146">
        <f t="shared" si="22"/>
        <v>76169</v>
      </c>
      <c r="C61" s="147">
        <v>76169</v>
      </c>
      <c r="D61" s="147"/>
      <c r="E61" s="147">
        <f t="shared" si="23"/>
        <v>76169</v>
      </c>
      <c r="F61" s="147"/>
      <c r="G61" s="147"/>
      <c r="H61" s="147"/>
      <c r="I61" s="147"/>
      <c r="J61" s="147"/>
      <c r="K61" s="147"/>
      <c r="L61" s="147"/>
      <c r="M61" s="147"/>
      <c r="N61" s="147"/>
      <c r="O61" s="147"/>
      <c r="P61" s="147"/>
      <c r="Q61" s="147"/>
      <c r="R61" s="550">
        <f t="shared" si="24"/>
        <v>76169</v>
      </c>
      <c r="S61" s="148"/>
      <c r="T61" s="148"/>
      <c r="U61" s="143"/>
    </row>
    <row r="62" spans="1:21" s="144" customFormat="1" ht="13.75" customHeight="1">
      <c r="A62" s="149" t="s">
        <v>302</v>
      </c>
      <c r="B62" s="146">
        <f>SUM(C62:D62)</f>
        <v>336289</v>
      </c>
      <c r="C62" s="146">
        <f t="shared" ref="C62:R62" si="25">SUM(C56:C61)</f>
        <v>336289</v>
      </c>
      <c r="D62" s="146">
        <f t="shared" si="25"/>
        <v>0</v>
      </c>
      <c r="E62" s="146">
        <f t="shared" si="25"/>
        <v>336289</v>
      </c>
      <c r="F62" s="146">
        <f t="shared" si="25"/>
        <v>0</v>
      </c>
      <c r="G62" s="146">
        <f t="shared" si="25"/>
        <v>0</v>
      </c>
      <c r="H62" s="146">
        <f t="shared" si="25"/>
        <v>0</v>
      </c>
      <c r="I62" s="146">
        <f t="shared" si="25"/>
        <v>0</v>
      </c>
      <c r="J62" s="146">
        <f t="shared" si="25"/>
        <v>0</v>
      </c>
      <c r="K62" s="146">
        <f t="shared" si="25"/>
        <v>0</v>
      </c>
      <c r="L62" s="146">
        <f t="shared" si="25"/>
        <v>0</v>
      </c>
      <c r="M62" s="146">
        <f t="shared" si="25"/>
        <v>0</v>
      </c>
      <c r="N62" s="146">
        <f t="shared" si="25"/>
        <v>0</v>
      </c>
      <c r="O62" s="146">
        <f t="shared" si="25"/>
        <v>0</v>
      </c>
      <c r="P62" s="146">
        <f t="shared" si="25"/>
        <v>0</v>
      </c>
      <c r="Q62" s="146">
        <f t="shared" si="25"/>
        <v>0</v>
      </c>
      <c r="R62" s="370">
        <f t="shared" si="25"/>
        <v>336289</v>
      </c>
      <c r="S62" s="148"/>
      <c r="T62" s="148"/>
      <c r="U62" s="143"/>
    </row>
    <row r="63" spans="1:21" s="144" customFormat="1">
      <c r="A63" s="154" t="s">
        <v>303</v>
      </c>
      <c r="B63" s="146">
        <f t="shared" ref="B63:R63" si="26">SUM(B8+B11+B13+B14+B15+B26+B27+B38+B42+B43+B54+B62)</f>
        <v>71913069</v>
      </c>
      <c r="C63" s="146">
        <f t="shared" si="26"/>
        <v>71913069</v>
      </c>
      <c r="D63" s="146">
        <f t="shared" si="26"/>
        <v>0</v>
      </c>
      <c r="E63" s="146">
        <f t="shared" si="26"/>
        <v>25495069</v>
      </c>
      <c r="F63" s="146">
        <f t="shared" si="26"/>
        <v>11580000</v>
      </c>
      <c r="G63" s="146">
        <f t="shared" si="26"/>
        <v>34838000</v>
      </c>
      <c r="H63" s="146">
        <f t="shared" si="26"/>
        <v>0</v>
      </c>
      <c r="I63" s="146">
        <f t="shared" si="26"/>
        <v>0</v>
      </c>
      <c r="J63" s="146">
        <f t="shared" si="26"/>
        <v>0</v>
      </c>
      <c r="K63" s="146">
        <f t="shared" si="26"/>
        <v>0</v>
      </c>
      <c r="L63" s="146">
        <f t="shared" si="26"/>
        <v>0</v>
      </c>
      <c r="M63" s="146">
        <f t="shared" si="26"/>
        <v>0</v>
      </c>
      <c r="N63" s="146">
        <f t="shared" si="26"/>
        <v>0</v>
      </c>
      <c r="O63" s="146">
        <f t="shared" si="26"/>
        <v>0</v>
      </c>
      <c r="P63" s="146">
        <f t="shared" si="26"/>
        <v>0</v>
      </c>
      <c r="Q63" s="146">
        <f t="shared" si="26"/>
        <v>0</v>
      </c>
      <c r="R63" s="370">
        <f t="shared" si="26"/>
        <v>71913069</v>
      </c>
      <c r="S63" s="146">
        <f>SUM(S10+S13+S14+S15+S26+S27+S38+S42+S43+S54)</f>
        <v>63874978.634844854</v>
      </c>
      <c r="T63" s="146">
        <f>SUM(T11+T13+T14+T15+T26+T27+T38+T42+T43+T54)</f>
        <v>0</v>
      </c>
      <c r="U63" s="143"/>
    </row>
    <row r="64" spans="1:21" s="144" customFormat="1" ht="24">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279710</v>
      </c>
      <c r="C65" s="147">
        <v>279710</v>
      </c>
      <c r="D65" s="147"/>
      <c r="E65" s="147">
        <f>B65</f>
        <v>279710</v>
      </c>
      <c r="F65" s="147"/>
      <c r="G65" s="147"/>
      <c r="H65" s="147"/>
      <c r="I65" s="147"/>
      <c r="J65" s="147"/>
      <c r="K65" s="147"/>
      <c r="L65" s="147"/>
      <c r="M65" s="147"/>
      <c r="N65" s="147"/>
      <c r="O65" s="147"/>
      <c r="P65" s="147"/>
      <c r="Q65" s="147"/>
      <c r="R65" s="550">
        <f>SUM(E65:Q65)</f>
        <v>279710</v>
      </c>
      <c r="S65" s="147">
        <f>207010-135</f>
        <v>206875</v>
      </c>
      <c r="T65" s="147"/>
      <c r="U65" s="143"/>
    </row>
    <row r="66" spans="1:21" s="144" customFormat="1" ht="24" customHeight="1">
      <c r="A66" s="304" t="s">
        <v>1754</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1755</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15000</v>
      </c>
      <c r="C68" s="147">
        <v>15000</v>
      </c>
      <c r="D68" s="147"/>
      <c r="E68" s="147">
        <f>B68</f>
        <v>15000</v>
      </c>
      <c r="F68" s="147"/>
      <c r="G68" s="147"/>
      <c r="H68" s="147"/>
      <c r="I68" s="147"/>
      <c r="J68" s="147"/>
      <c r="K68" s="147"/>
      <c r="L68" s="147"/>
      <c r="M68" s="147"/>
      <c r="N68" s="147"/>
      <c r="O68" s="147"/>
      <c r="P68" s="147"/>
      <c r="Q68" s="147"/>
      <c r="R68" s="550">
        <f>SUM(E68:Q68)</f>
        <v>15000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1758</v>
      </c>
      <c r="B70" s="146">
        <f>SUM(C70:D70)</f>
        <v>294710</v>
      </c>
      <c r="C70" s="146">
        <f>SUM(C65:C69)</f>
        <v>294710</v>
      </c>
      <c r="D70" s="146">
        <f>SUM(D65:D69)</f>
        <v>0</v>
      </c>
      <c r="E70" s="146">
        <f t="shared" ref="E70:T70" si="27">SUM(E65:E69)</f>
        <v>294710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70">
        <f t="shared" si="27"/>
        <v>294710</v>
      </c>
      <c r="S70" s="150">
        <f t="shared" si="27"/>
        <v>206875</v>
      </c>
      <c r="T70" s="150">
        <f t="shared" si="27"/>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1094900</v>
      </c>
      <c r="C75" s="147">
        <v>1094900</v>
      </c>
      <c r="D75" s="147"/>
      <c r="E75" s="147">
        <f t="shared" ref="E75" si="28">B75</f>
        <v>1094900</v>
      </c>
      <c r="F75" s="147"/>
      <c r="G75" s="147"/>
      <c r="H75" s="147"/>
      <c r="I75" s="147"/>
      <c r="J75" s="147"/>
      <c r="K75" s="147"/>
      <c r="L75" s="147"/>
      <c r="M75" s="147"/>
      <c r="N75" s="147"/>
      <c r="O75" s="147"/>
      <c r="P75" s="147"/>
      <c r="Q75" s="147"/>
      <c r="R75" s="550">
        <f>SUM(E75:Q75)</f>
        <v>1094900</v>
      </c>
      <c r="S75" s="148"/>
      <c r="T75" s="148"/>
      <c r="U75" s="143"/>
    </row>
    <row r="76" spans="1:21" s="144" customFormat="1">
      <c r="A76" s="1193" t="s">
        <v>2748</v>
      </c>
      <c r="B76" s="146">
        <f>SUM(C76+D76)</f>
        <v>162000</v>
      </c>
      <c r="C76" s="147">
        <v>162000</v>
      </c>
      <c r="D76" s="147"/>
      <c r="E76" s="147"/>
      <c r="F76" s="147"/>
      <c r="G76" s="147">
        <f>C76</f>
        <v>162000</v>
      </c>
      <c r="H76" s="147"/>
      <c r="I76" s="147"/>
      <c r="J76" s="147"/>
      <c r="K76" s="147"/>
      <c r="L76" s="147"/>
      <c r="M76" s="147"/>
      <c r="N76" s="147"/>
      <c r="O76" s="147"/>
      <c r="P76" s="147"/>
      <c r="Q76" s="147"/>
      <c r="R76" s="550">
        <f>SUM(E76:Q76)</f>
        <v>162000</v>
      </c>
      <c r="S76" s="148"/>
      <c r="T76" s="148"/>
      <c r="U76" s="143"/>
    </row>
    <row r="77" spans="1:21" s="144" customFormat="1">
      <c r="A77" s="149" t="s">
        <v>615</v>
      </c>
      <c r="B77" s="146">
        <f>SUM(C77:D77)</f>
        <v>1256900</v>
      </c>
      <c r="C77" s="146">
        <f>SUM(C72:C76)</f>
        <v>1256900</v>
      </c>
      <c r="D77" s="146">
        <f>SUM(D72:D76)</f>
        <v>0</v>
      </c>
      <c r="E77" s="146">
        <f t="shared" ref="E77:Q77" si="29">SUM(E72:E76)</f>
        <v>1094900</v>
      </c>
      <c r="F77" s="146">
        <f t="shared" si="29"/>
        <v>0</v>
      </c>
      <c r="G77" s="146">
        <f t="shared" si="29"/>
        <v>162000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70">
        <f>SUM(R72:R76)</f>
        <v>1256900</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2673865</v>
      </c>
      <c r="C79" s="147">
        <v>2673865</v>
      </c>
      <c r="D79" s="147"/>
      <c r="E79" s="147">
        <f t="shared" ref="E79:E80" si="30">B79</f>
        <v>2673865</v>
      </c>
      <c r="F79" s="147"/>
      <c r="G79" s="147"/>
      <c r="H79" s="147"/>
      <c r="I79" s="147"/>
      <c r="J79" s="147"/>
      <c r="K79" s="147"/>
      <c r="L79" s="147"/>
      <c r="M79" s="147"/>
      <c r="N79" s="147"/>
      <c r="O79" s="147"/>
      <c r="P79" s="147"/>
      <c r="Q79" s="147"/>
      <c r="R79" s="550">
        <f>SUM(E79:Q79)</f>
        <v>2673865</v>
      </c>
      <c r="S79" s="147">
        <f>R79</f>
        <v>2673865</v>
      </c>
      <c r="T79" s="147"/>
      <c r="U79" s="143"/>
    </row>
    <row r="80" spans="1:21" s="144" customFormat="1">
      <c r="A80" s="304" t="s">
        <v>58</v>
      </c>
      <c r="B80" s="146">
        <f>SUM(C80:D80)</f>
        <v>450000</v>
      </c>
      <c r="C80" s="147">
        <v>450000</v>
      </c>
      <c r="D80" s="147"/>
      <c r="E80" s="147">
        <f t="shared" si="30"/>
        <v>450000</v>
      </c>
      <c r="F80" s="147"/>
      <c r="G80" s="147"/>
      <c r="H80" s="147"/>
      <c r="I80" s="147"/>
      <c r="J80" s="147"/>
      <c r="K80" s="147"/>
      <c r="L80" s="147"/>
      <c r="M80" s="147"/>
      <c r="N80" s="147"/>
      <c r="O80" s="147"/>
      <c r="P80" s="147"/>
      <c r="Q80" s="147"/>
      <c r="R80" s="550">
        <f>SUM(E80:Q80)</f>
        <v>450000</v>
      </c>
      <c r="S80" s="147">
        <f>R80</f>
        <v>450000</v>
      </c>
      <c r="T80" s="147"/>
      <c r="U80" s="143"/>
    </row>
    <row r="81" spans="1:21" s="144" customFormat="1">
      <c r="A81" s="149" t="s">
        <v>1316</v>
      </c>
      <c r="B81" s="146">
        <f>SUM(C81:D81)</f>
        <v>3123865</v>
      </c>
      <c r="C81" s="543">
        <f>SUM(C79:C80)</f>
        <v>3123865</v>
      </c>
      <c r="D81" s="543">
        <f t="shared" ref="D81:T81" si="31">SUM(D79:D80)</f>
        <v>0</v>
      </c>
      <c r="E81" s="543">
        <f t="shared" si="31"/>
        <v>3123865</v>
      </c>
      <c r="F81" s="543">
        <f t="shared" si="31"/>
        <v>0</v>
      </c>
      <c r="G81" s="543">
        <f t="shared" si="31"/>
        <v>0</v>
      </c>
      <c r="H81" s="543">
        <f t="shared" si="31"/>
        <v>0</v>
      </c>
      <c r="I81" s="543">
        <f t="shared" si="31"/>
        <v>0</v>
      </c>
      <c r="J81" s="543">
        <f t="shared" si="31"/>
        <v>0</v>
      </c>
      <c r="K81" s="543">
        <f t="shared" si="31"/>
        <v>0</v>
      </c>
      <c r="L81" s="543">
        <f t="shared" si="31"/>
        <v>0</v>
      </c>
      <c r="M81" s="543">
        <f t="shared" si="31"/>
        <v>0</v>
      </c>
      <c r="N81" s="543">
        <f t="shared" si="31"/>
        <v>0</v>
      </c>
      <c r="O81" s="543">
        <f t="shared" si="31"/>
        <v>0</v>
      </c>
      <c r="P81" s="543">
        <f t="shared" si="31"/>
        <v>0</v>
      </c>
      <c r="Q81" s="543">
        <f t="shared" si="31"/>
        <v>0</v>
      </c>
      <c r="R81" s="543">
        <f t="shared" si="31"/>
        <v>3123865</v>
      </c>
      <c r="S81" s="543">
        <f t="shared" si="31"/>
        <v>3123865</v>
      </c>
      <c r="T81" s="543">
        <f t="shared" si="31"/>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2411</v>
      </c>
      <c r="B83" s="146">
        <f t="shared" ref="B83:B95" si="32">SUM(C83+D83)</f>
        <v>167390</v>
      </c>
      <c r="C83" s="147">
        <v>167390</v>
      </c>
      <c r="D83" s="147"/>
      <c r="E83" s="147">
        <f t="shared" ref="E83:E92" si="33">B83</f>
        <v>167390</v>
      </c>
      <c r="F83" s="147"/>
      <c r="G83" s="147"/>
      <c r="H83" s="147"/>
      <c r="I83" s="147"/>
      <c r="J83" s="147"/>
      <c r="K83" s="147"/>
      <c r="L83" s="147"/>
      <c r="M83" s="147"/>
      <c r="N83" s="147"/>
      <c r="O83" s="147"/>
      <c r="P83" s="147"/>
      <c r="Q83" s="147"/>
      <c r="R83" s="550">
        <f t="shared" ref="R83:R95" si="34">SUM(E83:Q83)</f>
        <v>167390</v>
      </c>
      <c r="S83" s="148"/>
      <c r="T83" s="148"/>
      <c r="U83" s="143"/>
    </row>
    <row r="84" spans="1:21" s="144" customFormat="1">
      <c r="A84" s="145" t="s">
        <v>777</v>
      </c>
      <c r="B84" s="146">
        <f t="shared" si="32"/>
        <v>24809</v>
      </c>
      <c r="C84" s="147">
        <v>24809</v>
      </c>
      <c r="D84" s="147"/>
      <c r="E84" s="147">
        <f t="shared" si="33"/>
        <v>24809</v>
      </c>
      <c r="F84" s="147"/>
      <c r="G84" s="147"/>
      <c r="H84" s="147"/>
      <c r="I84" s="147"/>
      <c r="J84" s="147"/>
      <c r="K84" s="147"/>
      <c r="L84" s="147"/>
      <c r="M84" s="147"/>
      <c r="N84" s="147"/>
      <c r="O84" s="147"/>
      <c r="P84" s="147"/>
      <c r="Q84" s="147"/>
      <c r="R84" s="550">
        <f t="shared" si="34"/>
        <v>24809</v>
      </c>
      <c r="S84" s="147">
        <f>R84</f>
        <v>24809</v>
      </c>
      <c r="T84" s="147"/>
      <c r="U84" s="143"/>
    </row>
    <row r="85" spans="1:21" s="144" customFormat="1">
      <c r="A85" s="145" t="s">
        <v>778</v>
      </c>
      <c r="B85" s="146">
        <f t="shared" si="32"/>
        <v>2622177</v>
      </c>
      <c r="C85" s="147">
        <v>2622177</v>
      </c>
      <c r="D85" s="147"/>
      <c r="E85" s="147">
        <f t="shared" si="33"/>
        <v>2622177</v>
      </c>
      <c r="F85" s="147"/>
      <c r="G85" s="147"/>
      <c r="H85" s="147"/>
      <c r="I85" s="147"/>
      <c r="J85" s="147"/>
      <c r="K85" s="147"/>
      <c r="L85" s="147"/>
      <c r="M85" s="147"/>
      <c r="N85" s="147"/>
      <c r="O85" s="147"/>
      <c r="P85" s="147"/>
      <c r="Q85" s="147"/>
      <c r="R85" s="550">
        <f t="shared" si="34"/>
        <v>2622177</v>
      </c>
      <c r="S85" s="147">
        <f>R85</f>
        <v>2622177</v>
      </c>
      <c r="T85" s="147"/>
      <c r="U85" s="143"/>
    </row>
    <row r="86" spans="1:21" s="144" customFormat="1">
      <c r="A86" s="145" t="s">
        <v>779</v>
      </c>
      <c r="B86" s="146">
        <f t="shared" si="32"/>
        <v>357348</v>
      </c>
      <c r="C86" s="147">
        <f>370397-13030-18-1</f>
        <v>357348</v>
      </c>
      <c r="D86" s="147"/>
      <c r="E86" s="147">
        <f t="shared" si="33"/>
        <v>357348</v>
      </c>
      <c r="F86" s="147"/>
      <c r="G86" s="147"/>
      <c r="H86" s="147"/>
      <c r="I86" s="147"/>
      <c r="J86" s="147"/>
      <c r="K86" s="147"/>
      <c r="L86" s="147"/>
      <c r="M86" s="147"/>
      <c r="N86" s="147"/>
      <c r="O86" s="147"/>
      <c r="P86" s="147"/>
      <c r="Q86" s="147"/>
      <c r="R86" s="550">
        <f t="shared" si="34"/>
        <v>357348</v>
      </c>
      <c r="S86" s="147">
        <f>R86</f>
        <v>357348</v>
      </c>
      <c r="T86" s="147"/>
      <c r="U86" s="143"/>
    </row>
    <row r="87" spans="1:21" s="144" customFormat="1">
      <c r="A87" s="145" t="s">
        <v>780</v>
      </c>
      <c r="B87" s="146">
        <f t="shared" si="32"/>
        <v>0</v>
      </c>
      <c r="C87" s="147"/>
      <c r="D87" s="147"/>
      <c r="E87" s="147">
        <f t="shared" si="33"/>
        <v>0</v>
      </c>
      <c r="F87" s="147"/>
      <c r="G87" s="147"/>
      <c r="H87" s="147"/>
      <c r="I87" s="147"/>
      <c r="J87" s="147"/>
      <c r="K87" s="147"/>
      <c r="L87" s="147"/>
      <c r="M87" s="147"/>
      <c r="N87" s="147"/>
      <c r="O87" s="147"/>
      <c r="P87" s="147"/>
      <c r="Q87" s="147"/>
      <c r="R87" s="550">
        <f t="shared" si="34"/>
        <v>0</v>
      </c>
      <c r="S87" s="147"/>
      <c r="T87" s="147"/>
      <c r="U87" s="143"/>
    </row>
    <row r="88" spans="1:21" s="144" customFormat="1">
      <c r="A88" s="145" t="s">
        <v>781</v>
      </c>
      <c r="B88" s="146">
        <f t="shared" si="32"/>
        <v>125000</v>
      </c>
      <c r="C88" s="147">
        <v>125000</v>
      </c>
      <c r="D88" s="147"/>
      <c r="E88" s="147">
        <f t="shared" si="33"/>
        <v>125000</v>
      </c>
      <c r="F88" s="147"/>
      <c r="G88" s="147"/>
      <c r="H88" s="147"/>
      <c r="I88" s="147"/>
      <c r="J88" s="147"/>
      <c r="K88" s="147"/>
      <c r="L88" s="147"/>
      <c r="M88" s="147"/>
      <c r="N88" s="147"/>
      <c r="O88" s="147"/>
      <c r="P88" s="147"/>
      <c r="Q88" s="147"/>
      <c r="R88" s="550">
        <f t="shared" si="34"/>
        <v>125000</v>
      </c>
      <c r="S88" s="148"/>
      <c r="T88" s="148"/>
      <c r="U88" s="143"/>
    </row>
    <row r="89" spans="1:21" s="144" customFormat="1">
      <c r="A89" s="145" t="s">
        <v>782</v>
      </c>
      <c r="B89" s="146">
        <f t="shared" si="32"/>
        <v>24221</v>
      </c>
      <c r="C89" s="147">
        <f>24117+104</f>
        <v>24221</v>
      </c>
      <c r="D89" s="147"/>
      <c r="E89" s="147">
        <f t="shared" si="33"/>
        <v>24221</v>
      </c>
      <c r="F89" s="147"/>
      <c r="G89" s="147"/>
      <c r="H89" s="147"/>
      <c r="I89" s="147"/>
      <c r="J89" s="147"/>
      <c r="K89" s="147"/>
      <c r="L89" s="147"/>
      <c r="M89" s="147"/>
      <c r="N89" s="147"/>
      <c r="O89" s="147"/>
      <c r="P89" s="147"/>
      <c r="Q89" s="147"/>
      <c r="R89" s="550">
        <f t="shared" si="34"/>
        <v>24221</v>
      </c>
      <c r="S89" s="147">
        <f t="shared" ref="S89:S90" si="35">R89</f>
        <v>24221</v>
      </c>
      <c r="T89" s="147"/>
      <c r="U89" s="143"/>
    </row>
    <row r="90" spans="1:21" s="144" customFormat="1">
      <c r="A90" s="145" t="s">
        <v>783</v>
      </c>
      <c r="B90" s="146">
        <f t="shared" si="32"/>
        <v>7500</v>
      </c>
      <c r="C90" s="147">
        <v>7500</v>
      </c>
      <c r="D90" s="147"/>
      <c r="E90" s="147">
        <f t="shared" si="33"/>
        <v>7500</v>
      </c>
      <c r="F90" s="147"/>
      <c r="G90" s="147"/>
      <c r="H90" s="147"/>
      <c r="I90" s="147"/>
      <c r="J90" s="147"/>
      <c r="K90" s="147"/>
      <c r="L90" s="147"/>
      <c r="M90" s="147"/>
      <c r="N90" s="147"/>
      <c r="O90" s="147"/>
      <c r="P90" s="147"/>
      <c r="Q90" s="147"/>
      <c r="R90" s="550">
        <f t="shared" si="34"/>
        <v>7500</v>
      </c>
      <c r="S90" s="147">
        <f t="shared" si="35"/>
        <v>7500</v>
      </c>
      <c r="T90" s="147"/>
      <c r="U90" s="143"/>
    </row>
    <row r="91" spans="1:21" s="144" customFormat="1">
      <c r="A91" s="145" t="s">
        <v>373</v>
      </c>
      <c r="B91" s="146">
        <f t="shared" si="32"/>
        <v>50000</v>
      </c>
      <c r="C91" s="147">
        <v>50000</v>
      </c>
      <c r="D91" s="147"/>
      <c r="E91" s="147">
        <f t="shared" si="33"/>
        <v>50000</v>
      </c>
      <c r="F91" s="147"/>
      <c r="G91" s="147"/>
      <c r="H91" s="147"/>
      <c r="I91" s="147"/>
      <c r="J91" s="147"/>
      <c r="K91" s="147"/>
      <c r="L91" s="147"/>
      <c r="M91" s="147"/>
      <c r="N91" s="147"/>
      <c r="O91" s="147"/>
      <c r="P91" s="147"/>
      <c r="Q91" s="147"/>
      <c r="R91" s="550">
        <f t="shared" si="34"/>
        <v>50000</v>
      </c>
      <c r="S91" s="147"/>
      <c r="T91" s="147"/>
      <c r="U91" s="143"/>
    </row>
    <row r="92" spans="1:21" s="144" customFormat="1">
      <c r="A92" s="304" t="s">
        <v>1318</v>
      </c>
      <c r="B92" s="146">
        <f t="shared" si="32"/>
        <v>12000</v>
      </c>
      <c r="C92" s="147">
        <v>12000</v>
      </c>
      <c r="D92" s="147"/>
      <c r="E92" s="147">
        <f t="shared" si="33"/>
        <v>12000</v>
      </c>
      <c r="F92" s="147"/>
      <c r="G92" s="147"/>
      <c r="H92" s="147"/>
      <c r="I92" s="147"/>
      <c r="J92" s="147"/>
      <c r="K92" s="147"/>
      <c r="L92" s="147"/>
      <c r="M92" s="147"/>
      <c r="N92" s="147"/>
      <c r="O92" s="147"/>
      <c r="P92" s="147"/>
      <c r="Q92" s="147"/>
      <c r="R92" s="550">
        <f t="shared" si="34"/>
        <v>12000</v>
      </c>
      <c r="S92" s="147">
        <f>R92</f>
        <v>12000</v>
      </c>
      <c r="T92" s="147"/>
      <c r="U92" s="143"/>
    </row>
    <row r="93" spans="1:21" s="144" customFormat="1">
      <c r="A93" s="1193" t="s">
        <v>34</v>
      </c>
      <c r="B93" s="146">
        <f t="shared" si="32"/>
        <v>0</v>
      </c>
      <c r="C93" s="147"/>
      <c r="D93" s="147"/>
      <c r="E93" s="147"/>
      <c r="F93" s="147"/>
      <c r="G93" s="147"/>
      <c r="H93" s="147"/>
      <c r="I93" s="147"/>
      <c r="J93" s="147"/>
      <c r="K93" s="147"/>
      <c r="L93" s="147"/>
      <c r="M93" s="147"/>
      <c r="N93" s="147"/>
      <c r="O93" s="147"/>
      <c r="P93" s="147"/>
      <c r="Q93" s="147"/>
      <c r="R93" s="550">
        <f t="shared" si="34"/>
        <v>0</v>
      </c>
      <c r="S93" s="147"/>
      <c r="T93" s="147"/>
      <c r="U93" s="143"/>
    </row>
    <row r="94" spans="1:21" s="144" customFormat="1">
      <c r="A94" s="1193" t="s">
        <v>34</v>
      </c>
      <c r="B94" s="146">
        <f t="shared" si="32"/>
        <v>0</v>
      </c>
      <c r="C94" s="147"/>
      <c r="D94" s="147"/>
      <c r="E94" s="147"/>
      <c r="F94" s="147"/>
      <c r="G94" s="147"/>
      <c r="H94" s="147"/>
      <c r="I94" s="147"/>
      <c r="J94" s="147"/>
      <c r="K94" s="147"/>
      <c r="L94" s="147"/>
      <c r="M94" s="147"/>
      <c r="N94" s="147"/>
      <c r="O94" s="147"/>
      <c r="P94" s="147"/>
      <c r="Q94" s="147"/>
      <c r="R94" s="550">
        <f t="shared" si="34"/>
        <v>0</v>
      </c>
      <c r="S94" s="147"/>
      <c r="T94" s="147"/>
      <c r="U94" s="143"/>
    </row>
    <row r="95" spans="1:21" s="144" customFormat="1">
      <c r="A95" s="1193" t="s">
        <v>34</v>
      </c>
      <c r="B95" s="146">
        <f t="shared" si="32"/>
        <v>0</v>
      </c>
      <c r="C95" s="147"/>
      <c r="D95" s="147"/>
      <c r="E95" s="147"/>
      <c r="F95" s="147"/>
      <c r="G95" s="147"/>
      <c r="H95" s="147"/>
      <c r="I95" s="147"/>
      <c r="J95" s="147"/>
      <c r="K95" s="147"/>
      <c r="L95" s="147"/>
      <c r="M95" s="147"/>
      <c r="N95" s="147"/>
      <c r="O95" s="147"/>
      <c r="P95" s="147"/>
      <c r="Q95" s="147"/>
      <c r="R95" s="550">
        <f t="shared" si="34"/>
        <v>0</v>
      </c>
      <c r="S95" s="147"/>
      <c r="T95" s="147"/>
      <c r="U95" s="143"/>
    </row>
    <row r="96" spans="1:21" s="144" customFormat="1">
      <c r="A96" s="149" t="s">
        <v>784</v>
      </c>
      <c r="B96" s="146">
        <f>SUM(C96:D96)</f>
        <v>3390445</v>
      </c>
      <c r="C96" s="146">
        <f t="shared" ref="C96:R96" si="36">SUM(C83:C95)</f>
        <v>3390445</v>
      </c>
      <c r="D96" s="146">
        <f t="shared" si="36"/>
        <v>0</v>
      </c>
      <c r="E96" s="146">
        <f t="shared" si="36"/>
        <v>3390445</v>
      </c>
      <c r="F96" s="146">
        <f t="shared" si="36"/>
        <v>0</v>
      </c>
      <c r="G96" s="146">
        <f t="shared" si="36"/>
        <v>0</v>
      </c>
      <c r="H96" s="146">
        <f t="shared" si="36"/>
        <v>0</v>
      </c>
      <c r="I96" s="146">
        <f t="shared" si="36"/>
        <v>0</v>
      </c>
      <c r="J96" s="146">
        <f t="shared" si="36"/>
        <v>0</v>
      </c>
      <c r="K96" s="146">
        <f t="shared" si="36"/>
        <v>0</v>
      </c>
      <c r="L96" s="146">
        <f t="shared" si="36"/>
        <v>0</v>
      </c>
      <c r="M96" s="146">
        <f t="shared" si="36"/>
        <v>0</v>
      </c>
      <c r="N96" s="146">
        <f t="shared" si="36"/>
        <v>0</v>
      </c>
      <c r="O96" s="146">
        <f t="shared" si="36"/>
        <v>0</v>
      </c>
      <c r="P96" s="146">
        <f t="shared" si="36"/>
        <v>0</v>
      </c>
      <c r="Q96" s="146">
        <f t="shared" si="36"/>
        <v>0</v>
      </c>
      <c r="R96" s="370">
        <f t="shared" si="36"/>
        <v>3390445</v>
      </c>
      <c r="S96" s="150">
        <f>SUM(S84:S87,S89:S95)</f>
        <v>3048055</v>
      </c>
      <c r="T96" s="146">
        <f>SUM(T84:T87,T89:T95)</f>
        <v>0</v>
      </c>
      <c r="U96" s="143"/>
    </row>
    <row r="97" spans="1:21" s="144" customFormat="1">
      <c r="A97" s="149" t="s">
        <v>785</v>
      </c>
      <c r="B97" s="146">
        <f>SUM(C97:D97)</f>
        <v>79978989</v>
      </c>
      <c r="C97" s="146">
        <f t="shared" ref="C97:R97" si="37">SUM(C63+C70+C77+C81+C96)</f>
        <v>79978989</v>
      </c>
      <c r="D97" s="146">
        <f t="shared" si="37"/>
        <v>0</v>
      </c>
      <c r="E97" s="146">
        <f t="shared" si="37"/>
        <v>33398989</v>
      </c>
      <c r="F97" s="146">
        <f t="shared" si="37"/>
        <v>11580000</v>
      </c>
      <c r="G97" s="146">
        <f t="shared" si="37"/>
        <v>35000000</v>
      </c>
      <c r="H97" s="146">
        <f t="shared" si="37"/>
        <v>0</v>
      </c>
      <c r="I97" s="146">
        <f t="shared" si="37"/>
        <v>0</v>
      </c>
      <c r="J97" s="146">
        <f t="shared" si="37"/>
        <v>0</v>
      </c>
      <c r="K97" s="146">
        <f t="shared" si="37"/>
        <v>0</v>
      </c>
      <c r="L97" s="146">
        <f t="shared" si="37"/>
        <v>0</v>
      </c>
      <c r="M97" s="146">
        <f t="shared" si="37"/>
        <v>0</v>
      </c>
      <c r="N97" s="146">
        <f t="shared" si="37"/>
        <v>0</v>
      </c>
      <c r="O97" s="146">
        <f t="shared" si="37"/>
        <v>0</v>
      </c>
      <c r="P97" s="146">
        <f t="shared" si="37"/>
        <v>0</v>
      </c>
      <c r="Q97" s="146">
        <f t="shared" si="37"/>
        <v>0</v>
      </c>
      <c r="R97" s="146">
        <f t="shared" si="37"/>
        <v>79978989</v>
      </c>
      <c r="S97" s="146">
        <f>SUM(S63+S70+S81+S96)</f>
        <v>70253773.634844854</v>
      </c>
      <c r="T97" s="146">
        <f>SUM(T63+T70+T81+T96)</f>
        <v>0</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10534580</v>
      </c>
      <c r="C99" s="1014">
        <v>10534580</v>
      </c>
      <c r="D99" s="1014"/>
      <c r="E99" s="1014">
        <v>3125948</v>
      </c>
      <c r="F99" s="147"/>
      <c r="G99" s="147"/>
      <c r="H99" s="147">
        <v>4433541</v>
      </c>
      <c r="I99" s="147">
        <f>Application!AO630</f>
        <v>2975091</v>
      </c>
      <c r="J99" s="147"/>
      <c r="K99" s="147"/>
      <c r="L99" s="147"/>
      <c r="M99" s="147"/>
      <c r="N99" s="147"/>
      <c r="O99" s="147"/>
      <c r="P99" s="147"/>
      <c r="Q99" s="147"/>
      <c r="R99" s="550">
        <f>SUM(E99:Q99)</f>
        <v>10534580</v>
      </c>
      <c r="S99" s="147">
        <f>R99</f>
        <v>10534580</v>
      </c>
      <c r="T99" s="147"/>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10534580</v>
      </c>
      <c r="C104" s="146">
        <f>SUM(C99:C103)</f>
        <v>10534580</v>
      </c>
      <c r="D104" s="146">
        <f t="shared" ref="D104:T104" si="38">SUM(D99:D103)</f>
        <v>0</v>
      </c>
      <c r="E104" s="146">
        <f t="shared" si="38"/>
        <v>3125948</v>
      </c>
      <c r="F104" s="146">
        <f t="shared" si="38"/>
        <v>0</v>
      </c>
      <c r="G104" s="146">
        <f t="shared" si="38"/>
        <v>0</v>
      </c>
      <c r="H104" s="146">
        <f t="shared" si="38"/>
        <v>4433541</v>
      </c>
      <c r="I104" s="146">
        <f t="shared" si="38"/>
        <v>2975091</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70">
        <f t="shared" si="38"/>
        <v>10534580</v>
      </c>
      <c r="S104" s="150">
        <f t="shared" si="38"/>
        <v>10534580</v>
      </c>
      <c r="T104" s="150">
        <f t="shared" si="38"/>
        <v>0</v>
      </c>
      <c r="U104" s="143"/>
    </row>
    <row r="105" spans="1:21" s="144" customFormat="1">
      <c r="A105" s="149" t="s">
        <v>790</v>
      </c>
      <c r="B105" s="150">
        <f>SUM(C105:D105)</f>
        <v>90513569</v>
      </c>
      <c r="C105" s="150">
        <f t="shared" ref="C105:R105" si="39">SUM(C97+C104)</f>
        <v>90513569</v>
      </c>
      <c r="D105" s="150">
        <f t="shared" si="39"/>
        <v>0</v>
      </c>
      <c r="E105" s="150">
        <f t="shared" si="39"/>
        <v>36524937</v>
      </c>
      <c r="F105" s="150">
        <f t="shared" si="39"/>
        <v>11580000</v>
      </c>
      <c r="G105" s="150">
        <f t="shared" si="39"/>
        <v>35000000</v>
      </c>
      <c r="H105" s="150">
        <f t="shared" si="39"/>
        <v>4433541</v>
      </c>
      <c r="I105" s="150">
        <f t="shared" si="39"/>
        <v>2975091</v>
      </c>
      <c r="J105" s="150">
        <f t="shared" si="39"/>
        <v>0</v>
      </c>
      <c r="K105" s="150">
        <f t="shared" si="39"/>
        <v>0</v>
      </c>
      <c r="L105" s="150">
        <f t="shared" si="39"/>
        <v>0</v>
      </c>
      <c r="M105" s="150">
        <f t="shared" si="39"/>
        <v>0</v>
      </c>
      <c r="N105" s="150">
        <f t="shared" si="39"/>
        <v>0</v>
      </c>
      <c r="O105" s="150">
        <f t="shared" si="39"/>
        <v>0</v>
      </c>
      <c r="P105" s="150">
        <f t="shared" si="39"/>
        <v>0</v>
      </c>
      <c r="Q105" s="150">
        <f t="shared" si="39"/>
        <v>0</v>
      </c>
      <c r="R105" s="370">
        <f t="shared" si="39"/>
        <v>90513569</v>
      </c>
      <c r="S105" s="150">
        <f>S97+S104</f>
        <v>80788353.634844854</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80788353.634844854</v>
      </c>
      <c r="T107" s="150">
        <f>T105+T106</f>
        <v>0</v>
      </c>
    </row>
    <row r="108" spans="1:21" s="201" customFormat="1">
      <c r="A108" s="162" t="s">
        <v>892</v>
      </c>
      <c r="B108" s="157"/>
      <c r="C108" s="157"/>
      <c r="D108" s="157"/>
      <c r="E108" s="323">
        <f>Application!AO640</f>
        <v>36524937</v>
      </c>
      <c r="F108" s="323">
        <f>Application!AO627</f>
        <v>11580000</v>
      </c>
      <c r="G108" s="323">
        <f>Application!AO628</f>
        <v>35000000</v>
      </c>
      <c r="H108" s="323">
        <f>Application!AO629</f>
        <v>4433541</v>
      </c>
      <c r="I108" s="323">
        <f>Application!AO630</f>
        <v>2975091</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2412</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78" t="s">
        <v>1015</v>
      </c>
      <c r="E122" s="1878"/>
      <c r="F122" s="1878"/>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80" t="s">
        <v>1332</v>
      </c>
      <c r="E123" s="1806"/>
      <c r="F123" s="1806"/>
      <c r="G123" s="1806"/>
      <c r="H123" s="1806"/>
      <c r="I123" s="1806"/>
      <c r="J123" s="1806"/>
      <c r="K123" s="1806"/>
      <c r="L123" s="1806"/>
      <c r="M123" s="1806"/>
      <c r="N123" s="1806"/>
      <c r="O123" s="1806"/>
      <c r="P123" s="1806"/>
      <c r="Q123" s="1806"/>
      <c r="R123" s="1806"/>
      <c r="S123" s="1806"/>
      <c r="T123" s="352"/>
      <c r="U123" s="354"/>
    </row>
    <row r="124" spans="1:21" ht="12.5">
      <c r="A124" s="117" t="s">
        <v>1017</v>
      </c>
      <c r="B124" s="361"/>
      <c r="C124" s="117"/>
      <c r="D124" s="1806"/>
      <c r="E124" s="1806"/>
      <c r="F124" s="1806"/>
      <c r="G124" s="1806"/>
      <c r="H124" s="1806"/>
      <c r="I124" s="1806"/>
      <c r="J124" s="1806"/>
      <c r="K124" s="1806"/>
      <c r="L124" s="1806"/>
      <c r="M124" s="1806"/>
      <c r="N124" s="1806"/>
      <c r="O124" s="1806"/>
      <c r="P124" s="1806"/>
      <c r="Q124" s="1806"/>
      <c r="R124" s="1806"/>
      <c r="S124" s="1806"/>
      <c r="T124" s="352"/>
      <c r="U124" s="354"/>
    </row>
    <row r="125" spans="1:21" ht="12.5">
      <c r="A125" s="117" t="s">
        <v>1018</v>
      </c>
      <c r="B125" s="361"/>
      <c r="C125" s="117"/>
      <c r="D125" s="1806"/>
      <c r="E125" s="1806"/>
      <c r="F125" s="1806"/>
      <c r="G125" s="1806"/>
      <c r="H125" s="1806"/>
      <c r="I125" s="1806"/>
      <c r="J125" s="1806"/>
      <c r="K125" s="1806"/>
      <c r="L125" s="1806"/>
      <c r="M125" s="1806"/>
      <c r="N125" s="1806"/>
      <c r="O125" s="1806"/>
      <c r="P125" s="1806"/>
      <c r="Q125" s="1806"/>
      <c r="R125" s="1806"/>
      <c r="S125" s="1806"/>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75"/>
      <c r="E128" s="1875"/>
      <c r="F128" s="1875"/>
      <c r="G128" s="1875"/>
      <c r="H128" s="1875"/>
      <c r="I128" s="117"/>
      <c r="J128" s="1876"/>
      <c r="K128" s="1876"/>
      <c r="L128" s="117"/>
      <c r="M128" s="117"/>
      <c r="N128" s="117"/>
      <c r="O128" s="117"/>
      <c r="P128" s="117"/>
      <c r="Q128" s="117"/>
      <c r="R128" s="117"/>
      <c r="S128" s="117"/>
      <c r="T128" s="352"/>
      <c r="U128" s="354"/>
    </row>
    <row r="129" spans="1:21" ht="12.5">
      <c r="A129" s="117" t="s">
        <v>301</v>
      </c>
      <c r="B129" s="361"/>
      <c r="C129" s="117"/>
      <c r="D129" s="1877" t="s">
        <v>1022</v>
      </c>
      <c r="E129" s="1877"/>
      <c r="F129" s="1877"/>
      <c r="G129" s="1877"/>
      <c r="H129" s="1877"/>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829"/>
      <c r="E131" s="1829"/>
      <c r="F131" s="1829"/>
      <c r="G131" s="1829"/>
      <c r="H131" s="1829"/>
      <c r="I131" s="117"/>
      <c r="J131" s="1829"/>
      <c r="K131" s="1829"/>
      <c r="L131" s="1829"/>
      <c r="M131" s="1829"/>
      <c r="N131" s="117"/>
      <c r="O131" s="117"/>
      <c r="P131" s="117"/>
      <c r="Q131" s="117"/>
      <c r="R131" s="117"/>
      <c r="S131" s="117"/>
      <c r="T131" s="352"/>
      <c r="U131" s="354"/>
    </row>
    <row r="132" spans="1:21" ht="12" customHeight="1">
      <c r="A132" s="364"/>
      <c r="B132" s="117"/>
      <c r="C132" s="117"/>
      <c r="D132" s="1881" t="s">
        <v>1025</v>
      </c>
      <c r="E132" s="1881"/>
      <c r="F132" s="1881"/>
      <c r="G132" s="1881"/>
      <c r="H132" s="1881"/>
      <c r="I132" s="117"/>
      <c r="J132" s="1881" t="s">
        <v>1026</v>
      </c>
      <c r="K132" s="1881"/>
      <c r="L132" s="1881"/>
      <c r="M132" s="188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2"/>
      <c r="B138" s="1875"/>
      <c r="C138" s="1875"/>
      <c r="D138" s="356"/>
      <c r="E138" s="1876"/>
      <c r="F138" s="1876"/>
      <c r="G138" s="117"/>
      <c r="H138" s="117"/>
      <c r="I138" s="117"/>
      <c r="J138" s="117"/>
      <c r="K138" s="117"/>
      <c r="L138" s="117"/>
      <c r="M138" s="117"/>
      <c r="N138" s="117"/>
      <c r="O138" s="117"/>
      <c r="P138" s="117"/>
      <c r="Q138" s="117"/>
      <c r="R138" s="117"/>
      <c r="S138" s="117"/>
      <c r="T138" s="358"/>
      <c r="U138" s="359"/>
    </row>
    <row r="139" spans="1:21" ht="13">
      <c r="A139" s="1879" t="s">
        <v>1029</v>
      </c>
      <c r="B139" s="1879"/>
      <c r="C139" s="1879"/>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A85" sqref="A85:XFD86"/>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5" t="s">
        <v>1335</v>
      </c>
      <c r="B1" s="1886"/>
      <c r="C1" s="1886"/>
      <c r="D1" s="1886"/>
      <c r="E1" s="1886"/>
      <c r="F1" s="1886"/>
      <c r="G1" s="1886"/>
      <c r="H1" s="1886"/>
      <c r="I1" s="1886"/>
      <c r="J1" s="1887"/>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3000000</v>
      </c>
      <c r="C4" s="393"/>
      <c r="D4" s="393"/>
      <c r="E4" s="394"/>
      <c r="F4" s="394"/>
      <c r="G4" s="394"/>
      <c r="H4" s="394"/>
      <c r="I4" s="394"/>
      <c r="J4" s="394"/>
      <c r="K4" s="390"/>
    </row>
    <row r="5" spans="1:11" s="391" customFormat="1">
      <c r="A5" s="395" t="s">
        <v>28</v>
      </c>
      <c r="B5" s="392">
        <f>'Sources and Uses Budget'!C5</f>
        <v>50000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3050000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1336478</v>
      </c>
      <c r="C10" s="393"/>
      <c r="D10" s="393"/>
      <c r="E10" s="392">
        <f>'Sources and Uses Budget'!S10</f>
        <v>1336478</v>
      </c>
      <c r="F10" s="393"/>
      <c r="G10" s="393"/>
      <c r="H10" s="392">
        <f>'Sources and Uses Budget'!T10</f>
        <v>0</v>
      </c>
      <c r="I10" s="393"/>
      <c r="J10" s="393"/>
      <c r="K10" s="390"/>
    </row>
    <row r="11" spans="1:11" s="391" customFormat="1">
      <c r="A11" s="396" t="s">
        <v>605</v>
      </c>
      <c r="B11" s="392">
        <f>'Sources and Uses Budget'!C11</f>
        <v>1336478</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4386478</v>
      </c>
      <c r="C12" s="392">
        <f>SUM(C8+C11)</f>
        <v>0</v>
      </c>
      <c r="D12" s="392">
        <f>SUM(D8+D11)</f>
        <v>0</v>
      </c>
      <c r="E12" s="394"/>
      <c r="F12" s="394"/>
      <c r="G12" s="394"/>
      <c r="H12" s="394"/>
      <c r="I12" s="394"/>
      <c r="J12" s="394"/>
      <c r="K12" s="390"/>
    </row>
    <row r="13" spans="1:11" s="391" customFormat="1">
      <c r="A13" s="397" t="s">
        <v>918</v>
      </c>
      <c r="B13" s="392">
        <f>'Sources and Uses Budget'!C13</f>
        <v>450000</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(Performance Bonds)</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729424</v>
      </c>
      <c r="C29" s="393"/>
      <c r="D29" s="393"/>
      <c r="E29" s="392">
        <f>'Sources and Uses Budget'!S29</f>
        <v>716740.5277872486</v>
      </c>
      <c r="F29" s="393"/>
      <c r="G29" s="393"/>
      <c r="H29" s="392">
        <f>'Sources and Uses Budget'!T29</f>
        <v>0</v>
      </c>
      <c r="I29" s="393"/>
      <c r="J29" s="393"/>
      <c r="K29" s="390"/>
    </row>
    <row r="30" spans="1:11" s="391" customFormat="1">
      <c r="A30" s="145" t="s">
        <v>608</v>
      </c>
      <c r="B30" s="392">
        <f>'Sources and Uses Budget'!C30</f>
        <v>44492221</v>
      </c>
      <c r="C30" s="393"/>
      <c r="D30" s="393"/>
      <c r="E30" s="392">
        <f>'Sources and Uses Budget'!S30</f>
        <v>43718575.152403682</v>
      </c>
      <c r="F30" s="393"/>
      <c r="G30" s="393"/>
      <c r="H30" s="392">
        <f>'Sources and Uses Budget'!T30</f>
        <v>0</v>
      </c>
      <c r="I30" s="393"/>
      <c r="J30" s="393"/>
      <c r="K30" s="390"/>
    </row>
    <row r="31" spans="1:11" s="391" customFormat="1">
      <c r="A31" s="145" t="s">
        <v>609</v>
      </c>
      <c r="B31" s="392">
        <f>'Sources and Uses Budget'!C31</f>
        <v>2805239</v>
      </c>
      <c r="C31" s="393"/>
      <c r="D31" s="393"/>
      <c r="E31" s="392">
        <f>'Sources and Uses Budget'!S31</f>
        <v>2756460.551653597</v>
      </c>
      <c r="F31" s="393"/>
      <c r="G31" s="393"/>
      <c r="H31" s="392">
        <f>'Sources and Uses Budget'!T31</f>
        <v>0</v>
      </c>
      <c r="I31" s="393"/>
      <c r="J31" s="393"/>
      <c r="K31" s="390"/>
    </row>
    <row r="32" spans="1:11" s="391" customFormat="1">
      <c r="A32" s="145" t="s">
        <v>137</v>
      </c>
      <c r="B32" s="392">
        <f>'Sources and Uses Budget'!C32</f>
        <v>935019</v>
      </c>
      <c r="C32" s="393"/>
      <c r="D32" s="393"/>
      <c r="E32" s="392">
        <f>'Sources and Uses Budget'!S32</f>
        <v>918760.57211046712</v>
      </c>
      <c r="F32" s="393"/>
      <c r="G32" s="393"/>
      <c r="H32" s="392">
        <f>'Sources and Uses Budget'!T32</f>
        <v>0</v>
      </c>
      <c r="I32" s="393"/>
      <c r="J32" s="393"/>
      <c r="K32" s="390"/>
    </row>
    <row r="33" spans="1:11" s="391" customFormat="1">
      <c r="A33" s="145" t="s">
        <v>138</v>
      </c>
      <c r="B33" s="392">
        <f>'Sources and Uses Budget'!C33</f>
        <v>2805239</v>
      </c>
      <c r="C33" s="393"/>
      <c r="D33" s="393"/>
      <c r="E33" s="392">
        <f>'Sources and Uses Budget'!S33</f>
        <v>2756460.551653597</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373678</v>
      </c>
      <c r="C35" s="393"/>
      <c r="D35" s="393"/>
      <c r="E35" s="392">
        <f>'Sources and Uses Budget'!S35</f>
        <v>367180.36004091374</v>
      </c>
      <c r="F35" s="393"/>
      <c r="G35" s="393"/>
      <c r="H35" s="392">
        <f>'Sources and Uses Budget'!T35</f>
        <v>0</v>
      </c>
      <c r="I35" s="393"/>
      <c r="J35" s="393"/>
      <c r="K35" s="390"/>
    </row>
    <row r="36" spans="1:11" s="391" customFormat="1">
      <c r="A36" s="542" t="s">
        <v>1753</v>
      </c>
      <c r="B36" s="392">
        <f>'Sources and Uses Budget'!C36</f>
        <v>48000</v>
      </c>
      <c r="C36" s="393"/>
      <c r="D36" s="393"/>
      <c r="E36" s="392">
        <f>'Sources and Uses Budget'!S36</f>
        <v>47165.359699965906</v>
      </c>
      <c r="F36" s="393"/>
      <c r="G36" s="393"/>
      <c r="H36" s="392">
        <f>'Sources and Uses Budget'!T36</f>
        <v>0</v>
      </c>
      <c r="I36" s="393"/>
      <c r="J36" s="393"/>
      <c r="K36" s="390"/>
    </row>
    <row r="37" spans="1:11" s="391" customFormat="1">
      <c r="A37" s="395" t="str">
        <f>'Sources and Uses Budget'!$A37</f>
        <v>Other: ()</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52188820</v>
      </c>
      <c r="C38" s="392">
        <f>SUM(C29:C37)</f>
        <v>0</v>
      </c>
      <c r="D38" s="392">
        <f>SUM(D29:D37)</f>
        <v>0</v>
      </c>
      <c r="E38" s="392">
        <f>'Sources and Uses Budget'!S38</f>
        <v>51281343.075349458</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1387810</v>
      </c>
      <c r="C40" s="393"/>
      <c r="D40" s="393"/>
      <c r="E40" s="392">
        <f>'Sources and Uses Budget'!S40</f>
        <v>1363678.2884418685</v>
      </c>
      <c r="F40" s="393"/>
      <c r="G40" s="393"/>
      <c r="H40" s="392">
        <f>'Sources and Uses Budget'!T40</f>
        <v>0</v>
      </c>
      <c r="I40" s="393"/>
      <c r="J40" s="393"/>
      <c r="K40" s="390"/>
    </row>
    <row r="41" spans="1:11" s="391" customFormat="1">
      <c r="A41" s="395" t="s">
        <v>146</v>
      </c>
      <c r="B41" s="392">
        <f>'Sources and Uses Budget'!C41</f>
        <v>573000</v>
      </c>
      <c r="C41" s="393"/>
      <c r="D41" s="393"/>
      <c r="E41" s="392">
        <f>'Sources and Uses Budget'!S41</f>
        <v>563036.48141834303</v>
      </c>
      <c r="F41" s="393"/>
      <c r="G41" s="393"/>
      <c r="H41" s="392">
        <f>'Sources and Uses Budget'!T41</f>
        <v>0</v>
      </c>
      <c r="I41" s="393"/>
      <c r="J41" s="393"/>
      <c r="K41" s="390"/>
    </row>
    <row r="42" spans="1:11" s="391" customFormat="1">
      <c r="A42" s="396" t="s">
        <v>147</v>
      </c>
      <c r="B42" s="392">
        <f>'Sources and Uses Budget'!C42</f>
        <v>1960810</v>
      </c>
      <c r="C42" s="392">
        <f>SUM(C39:C41)</f>
        <v>0</v>
      </c>
      <c r="D42" s="392">
        <f>SUM(D39:D41)</f>
        <v>0</v>
      </c>
      <c r="E42" s="392">
        <f>'Sources and Uses Budget'!S42</f>
        <v>1926714.7698602115</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325000</v>
      </c>
      <c r="C43" s="393"/>
      <c r="D43" s="393"/>
      <c r="E43" s="392">
        <f>'Sources and Uses Budget'!S43</f>
        <v>319348.78963518579</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9802680</v>
      </c>
      <c r="C45" s="393"/>
      <c r="D45" s="393"/>
      <c r="E45" s="392">
        <f>'Sources and Uses Budget'!S45</f>
        <v>6548102</v>
      </c>
      <c r="F45" s="393"/>
      <c r="G45" s="393"/>
      <c r="H45" s="392">
        <f>'Sources and Uses Budget'!T45</f>
        <v>0</v>
      </c>
      <c r="I45" s="393"/>
      <c r="J45" s="393"/>
      <c r="K45" s="390"/>
    </row>
    <row r="46" spans="1:11" s="391" customFormat="1">
      <c r="A46" s="395" t="s">
        <v>151</v>
      </c>
      <c r="B46" s="392">
        <f>'Sources and Uses Budget'!C46</f>
        <v>460627</v>
      </c>
      <c r="C46" s="393"/>
      <c r="D46" s="393"/>
      <c r="E46" s="392">
        <f>'Sources and Uses Budget'!S46</f>
        <v>460627</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46000</v>
      </c>
      <c r="C50" s="393"/>
      <c r="D50" s="393"/>
      <c r="E50" s="392">
        <f>'Sources and Uses Budget'!S50</f>
        <v>46000</v>
      </c>
      <c r="F50" s="393"/>
      <c r="G50" s="393"/>
      <c r="H50" s="392">
        <f>'Sources and Uses Budget'!T50</f>
        <v>0</v>
      </c>
      <c r="I50" s="393"/>
      <c r="J50" s="393"/>
      <c r="K50" s="390"/>
    </row>
    <row r="51" spans="1:11" s="391" customFormat="1">
      <c r="A51" s="395" t="s">
        <v>154</v>
      </c>
      <c r="B51" s="392">
        <f>'Sources and Uses Budget'!C51</f>
        <v>272132</v>
      </c>
      <c r="C51" s="393"/>
      <c r="D51" s="393"/>
      <c r="E51" s="392">
        <f>'Sources and Uses Budget'!S51</f>
        <v>272132</v>
      </c>
      <c r="F51" s="393"/>
      <c r="G51" s="393"/>
      <c r="H51" s="392">
        <f>'Sources and Uses Budget'!T51</f>
        <v>0</v>
      </c>
      <c r="I51" s="393"/>
      <c r="J51" s="393"/>
      <c r="K51" s="390"/>
    </row>
    <row r="52" spans="1:11" s="391" customFormat="1">
      <c r="A52" s="395" t="s">
        <v>155</v>
      </c>
      <c r="B52" s="392">
        <f>'Sources and Uses Budget'!C52</f>
        <v>1684233</v>
      </c>
      <c r="C52" s="393"/>
      <c r="D52" s="393"/>
      <c r="E52" s="392">
        <f>'Sources and Uses Budget'!S52</f>
        <v>1684233</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12265672</v>
      </c>
      <c r="C54" s="398">
        <f>SUM(C45:C53)</f>
        <v>0</v>
      </c>
      <c r="D54" s="398">
        <f>SUM(D45:D53)</f>
        <v>0</v>
      </c>
      <c r="E54" s="392">
        <f>'Sources and Uses Budget'!S54</f>
        <v>9011094</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115900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119220</v>
      </c>
      <c r="C60" s="393"/>
      <c r="D60" s="393"/>
      <c r="E60" s="394"/>
      <c r="F60" s="394"/>
      <c r="G60" s="394"/>
      <c r="H60" s="394"/>
      <c r="I60" s="394"/>
      <c r="J60" s="394"/>
      <c r="K60" s="390"/>
    </row>
    <row r="61" spans="1:11" s="391" customFormat="1">
      <c r="A61" s="395" t="str">
        <f>'Sources and Uses Budget'!$A61</f>
        <v>Other: (Issuer Fee)</v>
      </c>
      <c r="B61" s="392">
        <f>'Sources and Uses Budget'!C61</f>
        <v>76169</v>
      </c>
      <c r="C61" s="393"/>
      <c r="D61" s="393"/>
      <c r="E61" s="394"/>
      <c r="F61" s="394"/>
      <c r="G61" s="394"/>
      <c r="H61" s="394"/>
      <c r="I61" s="394"/>
      <c r="J61" s="394"/>
      <c r="K61" s="390"/>
    </row>
    <row r="62" spans="1:11" s="391" customFormat="1" ht="13.75" customHeight="1">
      <c r="A62" s="396" t="s">
        <v>302</v>
      </c>
      <c r="B62" s="392">
        <f>'Sources and Uses Budget'!C62</f>
        <v>336289</v>
      </c>
      <c r="C62" s="392">
        <f>SUM(C56:C61)</f>
        <v>0</v>
      </c>
      <c r="D62" s="392">
        <f>SUM(D56:D61)</f>
        <v>0</v>
      </c>
      <c r="E62" s="394"/>
      <c r="F62" s="394"/>
      <c r="G62" s="394"/>
      <c r="H62" s="394"/>
      <c r="I62" s="394"/>
      <c r="J62" s="394"/>
      <c r="K62" s="390"/>
    </row>
    <row r="63" spans="1:11" s="391" customFormat="1">
      <c r="A63" s="401" t="s">
        <v>303</v>
      </c>
      <c r="B63" s="392">
        <f>'Sources and Uses Budget'!C63</f>
        <v>71913069</v>
      </c>
      <c r="C63" s="392">
        <f>SUM(C8+C11+C13+C14+C15+C26+C27+C38+C42+C43+C54+C62)</f>
        <v>0</v>
      </c>
      <c r="D63" s="392">
        <f>SUM(D8+D11+D13+D14+D15+D26+D27+D38+D42+D43+D54+D62)</f>
        <v>0</v>
      </c>
      <c r="E63" s="392">
        <f>'Sources and Uses Budget'!S63</f>
        <v>63874978.634844854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1757</v>
      </c>
      <c r="B64" s="389"/>
      <c r="C64" s="389"/>
      <c r="D64" s="389"/>
      <c r="E64" s="389"/>
      <c r="F64" s="389"/>
      <c r="G64" s="389"/>
      <c r="H64" s="389"/>
      <c r="I64" s="389"/>
      <c r="J64" s="389"/>
      <c r="K64" s="390"/>
    </row>
    <row r="65" spans="1:11" s="391" customFormat="1">
      <c r="A65" s="145" t="s">
        <v>171</v>
      </c>
      <c r="B65" s="392">
        <f>'Sources and Uses Budget'!C65</f>
        <v>279710</v>
      </c>
      <c r="C65" s="393"/>
      <c r="D65" s="393"/>
      <c r="E65" s="392">
        <f>'Sources and Uses Budget'!S65</f>
        <v>206875</v>
      </c>
      <c r="F65" s="393"/>
      <c r="G65" s="393"/>
      <c r="H65" s="392">
        <f>'Sources and Uses Budget'!T65</f>
        <v>0</v>
      </c>
      <c r="I65" s="393"/>
      <c r="J65" s="393"/>
      <c r="K65" s="390"/>
    </row>
    <row r="66" spans="1:11" s="391" customFormat="1" ht="23">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1761</v>
      </c>
      <c r="B68" s="392">
        <f>'Sources and Uses Budget'!C68</f>
        <v>15000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294710</v>
      </c>
      <c r="C70" s="392">
        <f>SUM(C64:C69)</f>
        <v>0</v>
      </c>
      <c r="D70" s="392">
        <f>SUM(D64:D69)</f>
        <v>0</v>
      </c>
      <c r="E70" s="392">
        <f>'Sources and Uses Budget'!S70</f>
        <v>206875</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1094900</v>
      </c>
      <c r="C75" s="393"/>
      <c r="D75" s="393"/>
      <c r="E75" s="394"/>
      <c r="F75" s="394"/>
      <c r="G75" s="394"/>
      <c r="H75" s="394"/>
      <c r="I75" s="394"/>
      <c r="J75" s="394"/>
      <c r="K75" s="390"/>
    </row>
    <row r="76" spans="1:11" s="391" customFormat="1">
      <c r="A76" s="395" t="str">
        <f>'Sources and Uses Budget'!$A76</f>
        <v>Other: (Internet Reserve- 3 Yrs)</v>
      </c>
      <c r="B76" s="392">
        <f>'Sources and Uses Budget'!C76</f>
        <v>162000</v>
      </c>
      <c r="C76" s="393"/>
      <c r="D76" s="393"/>
      <c r="E76" s="394"/>
      <c r="F76" s="394"/>
      <c r="G76" s="394"/>
      <c r="H76" s="394"/>
      <c r="I76" s="394"/>
      <c r="J76" s="394"/>
      <c r="K76" s="390"/>
    </row>
    <row r="77" spans="1:11" s="391" customFormat="1">
      <c r="A77" s="396" t="s">
        <v>615</v>
      </c>
      <c r="B77" s="392">
        <f>'Sources and Uses Budget'!C77</f>
        <v>1256900</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2673865</v>
      </c>
      <c r="C79" s="393"/>
      <c r="D79" s="393"/>
      <c r="E79" s="392">
        <f>'Sources and Uses Budget'!S79</f>
        <v>2673865</v>
      </c>
      <c r="F79" s="393"/>
      <c r="G79" s="393"/>
      <c r="H79" s="392">
        <f>'Sources and Uses Budget'!T79</f>
        <v>0</v>
      </c>
      <c r="I79" s="393"/>
      <c r="J79" s="393"/>
      <c r="K79" s="390"/>
    </row>
    <row r="80" spans="1:11" s="391" customFormat="1">
      <c r="A80" s="395" t="s">
        <v>58</v>
      </c>
      <c r="B80" s="392">
        <f>'Sources and Uses Budget'!C80</f>
        <v>450000</v>
      </c>
      <c r="C80" s="393"/>
      <c r="D80" s="393"/>
      <c r="E80" s="392">
        <f>'Sources and Uses Budget'!S80</f>
        <v>450000</v>
      </c>
      <c r="F80" s="393"/>
      <c r="G80" s="393"/>
      <c r="H80" s="392">
        <f>'Sources and Uses Budget'!T80</f>
        <v>0</v>
      </c>
      <c r="I80" s="393"/>
      <c r="J80" s="393"/>
      <c r="K80" s="390"/>
    </row>
    <row r="81" spans="1:11" s="391" customFormat="1">
      <c r="A81" s="396" t="s">
        <v>1316</v>
      </c>
      <c r="B81" s="392">
        <f>'Sources and Uses Budget'!C81</f>
        <v>3123865</v>
      </c>
      <c r="C81" s="392">
        <f>SUM(C79:C80)</f>
        <v>0</v>
      </c>
      <c r="D81" s="392">
        <f>SUM(D79:D80)</f>
        <v>0</v>
      </c>
      <c r="E81" s="392">
        <f>'Sources and Uses Budget'!S81</f>
        <v>3123865</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2411</v>
      </c>
      <c r="B83" s="392">
        <f>'Sources and Uses Budget'!C83</f>
        <v>167390</v>
      </c>
      <c r="C83" s="393"/>
      <c r="D83" s="393"/>
      <c r="E83" s="394"/>
      <c r="F83" s="394"/>
      <c r="G83" s="394"/>
      <c r="H83" s="394"/>
      <c r="I83" s="394"/>
      <c r="J83" s="394"/>
      <c r="K83" s="390"/>
    </row>
    <row r="84" spans="1:11" s="391" customFormat="1">
      <c r="A84" s="145" t="s">
        <v>777</v>
      </c>
      <c r="B84" s="392">
        <f>'Sources and Uses Budget'!C84</f>
        <v>24809</v>
      </c>
      <c r="C84" s="393"/>
      <c r="D84" s="393"/>
      <c r="E84" s="392">
        <f>'Sources and Uses Budget'!S84</f>
        <v>24809</v>
      </c>
      <c r="F84" s="393"/>
      <c r="G84" s="393"/>
      <c r="H84" s="392">
        <f>'Sources and Uses Budget'!T84</f>
        <v>0</v>
      </c>
      <c r="I84" s="393"/>
      <c r="J84" s="393"/>
      <c r="K84" s="390"/>
    </row>
    <row r="85" spans="1:11" s="391" customFormat="1">
      <c r="A85" s="145" t="s">
        <v>778</v>
      </c>
      <c r="B85" s="392">
        <f>'Sources and Uses Budget'!C85</f>
        <v>2622177</v>
      </c>
      <c r="C85" s="393"/>
      <c r="D85" s="393"/>
      <c r="E85" s="392">
        <f>'Sources and Uses Budget'!S85</f>
        <v>2622177</v>
      </c>
      <c r="F85" s="393"/>
      <c r="G85" s="393"/>
      <c r="H85" s="392">
        <f>'Sources and Uses Budget'!T85</f>
        <v>0</v>
      </c>
      <c r="I85" s="393"/>
      <c r="J85" s="393"/>
      <c r="K85" s="390"/>
    </row>
    <row r="86" spans="1:11" s="391" customFormat="1">
      <c r="A86" s="145" t="s">
        <v>779</v>
      </c>
      <c r="B86" s="392">
        <f>'Sources and Uses Budget'!C86</f>
        <v>357348</v>
      </c>
      <c r="C86" s="393"/>
      <c r="D86" s="393"/>
      <c r="E86" s="392">
        <f>'Sources and Uses Budget'!S86</f>
        <v>357348</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125000</v>
      </c>
      <c r="C88" s="393"/>
      <c r="D88" s="393"/>
      <c r="E88" s="394"/>
      <c r="F88" s="394"/>
      <c r="G88" s="394"/>
      <c r="H88" s="394"/>
      <c r="I88" s="394"/>
      <c r="J88" s="394"/>
      <c r="K88" s="390"/>
    </row>
    <row r="89" spans="1:11" s="391" customFormat="1">
      <c r="A89" s="145" t="s">
        <v>782</v>
      </c>
      <c r="B89" s="392">
        <f>'Sources and Uses Budget'!C89</f>
        <v>24221</v>
      </c>
      <c r="C89" s="393"/>
      <c r="D89" s="393"/>
      <c r="E89" s="392">
        <f>'Sources and Uses Budget'!S89</f>
        <v>24221</v>
      </c>
      <c r="F89" s="393"/>
      <c r="G89" s="393"/>
      <c r="H89" s="392">
        <f>'Sources and Uses Budget'!T89</f>
        <v>0</v>
      </c>
      <c r="I89" s="393"/>
      <c r="J89" s="393"/>
      <c r="K89" s="390"/>
    </row>
    <row r="90" spans="1:11" s="391" customFormat="1">
      <c r="A90" s="145" t="s">
        <v>783</v>
      </c>
      <c r="B90" s="392">
        <f>'Sources and Uses Budget'!C90</f>
        <v>7500</v>
      </c>
      <c r="C90" s="393"/>
      <c r="D90" s="393"/>
      <c r="E90" s="392">
        <f>'Sources and Uses Budget'!S90</f>
        <v>7500</v>
      </c>
      <c r="F90" s="393"/>
      <c r="G90" s="393"/>
      <c r="H90" s="392">
        <f>'Sources and Uses Budget'!T90</f>
        <v>0</v>
      </c>
      <c r="I90" s="393"/>
      <c r="J90" s="393"/>
      <c r="K90" s="390"/>
    </row>
    <row r="91" spans="1:11" s="391" customFormat="1">
      <c r="A91" s="155" t="s">
        <v>373</v>
      </c>
      <c r="B91" s="392">
        <f>'Sources and Uses Budget'!C91</f>
        <v>50000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12000</v>
      </c>
      <c r="C92" s="393"/>
      <c r="D92" s="393"/>
      <c r="E92" s="392">
        <f>'Sources and Uses Budget'!S92</f>
        <v>12000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3390445</v>
      </c>
      <c r="C96" s="392">
        <f>SUM(C83:C95)</f>
        <v>0</v>
      </c>
      <c r="D96" s="392">
        <f>SUM(D83:D95)</f>
        <v>0</v>
      </c>
      <c r="E96" s="392">
        <f>'Sources and Uses Budget'!S96</f>
        <v>3048055</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79978989</v>
      </c>
      <c r="C97" s="392">
        <f>SUM(C63+C70+C77+C81+C96)</f>
        <v>0</v>
      </c>
      <c r="D97" s="392">
        <f>SUM(D63+D70+D77+D81+D96)</f>
        <v>0</v>
      </c>
      <c r="E97" s="392">
        <f>'Sources and Uses Budget'!S97</f>
        <v>70253773.634844854</v>
      </c>
      <c r="F97" s="398">
        <f>SUM(+F63+F70+F81+F96)</f>
        <v>0</v>
      </c>
      <c r="G97" s="398">
        <f>SUM(+G63+G70+G81+G96)</f>
        <v>0</v>
      </c>
      <c r="H97" s="392">
        <f>'Sources and Uses Budget'!T97</f>
        <v>0</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10534580</v>
      </c>
      <c r="C99" s="393"/>
      <c r="D99" s="393"/>
      <c r="E99" s="392">
        <f>'Sources and Uses Budget'!S99</f>
        <v>10534580</v>
      </c>
      <c r="F99" s="393"/>
      <c r="G99" s="393"/>
      <c r="H99" s="392">
        <f>'Sources and Uses Budget'!T99</f>
        <v>0</v>
      </c>
      <c r="I99" s="393"/>
      <c r="J99" s="393"/>
      <c r="K99" s="390"/>
    </row>
    <row r="100" spans="1:11" s="391" customFormat="1">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10534580</v>
      </c>
      <c r="C104" s="392">
        <f>SUM(C99:C103)</f>
        <v>0</v>
      </c>
      <c r="D104" s="392">
        <f>SUM(D99:D103)</f>
        <v>0</v>
      </c>
      <c r="E104" s="392">
        <f>'Sources and Uses Budget'!S104</f>
        <v>10534580</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90513569</v>
      </c>
      <c r="C105" s="398">
        <f>SUM(C97+C104)</f>
        <v>0</v>
      </c>
      <c r="D105" s="398">
        <f>SUM(D97+D104)</f>
        <v>0</v>
      </c>
      <c r="E105" s="392">
        <f>'Sources and Uses Budget'!S105</f>
        <v>80788353.634844854</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80788353.634844854</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3"/>
      <c r="E124" s="1333"/>
      <c r="F124" s="1333"/>
      <c r="G124" s="1333"/>
      <c r="H124" s="1333"/>
      <c r="I124" s="1333"/>
      <c r="J124" s="407"/>
      <c r="K124" s="390"/>
    </row>
    <row r="125" spans="1:11" s="391" customFormat="1" ht="12.5">
      <c r="A125" s="416"/>
      <c r="B125" s="415"/>
      <c r="C125" s="416"/>
      <c r="D125" s="1333"/>
      <c r="E125" s="1333"/>
      <c r="F125" s="1333"/>
      <c r="G125" s="1333"/>
      <c r="H125" s="1333"/>
      <c r="I125" s="1333"/>
      <c r="J125" s="407"/>
      <c r="K125" s="390"/>
    </row>
    <row r="126" spans="1:11" s="391" customFormat="1" ht="12.5">
      <c r="A126" s="416"/>
      <c r="B126" s="415"/>
      <c r="C126" s="416"/>
      <c r="D126" s="1333"/>
      <c r="E126" s="1333"/>
      <c r="F126" s="1333"/>
      <c r="G126" s="1333"/>
      <c r="H126" s="1333"/>
      <c r="I126" s="1333"/>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4"/>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8" workbookViewId="0">
      <selection activeCell="AK64" sqref="AK64"/>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1920" t="s">
        <v>1411</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row>
    <row r="2" spans="1:42" s="570" customFormat="1" ht="12.75" customHeight="1" thickBo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4" t="s">
        <v>1416</v>
      </c>
      <c r="AF7" s="1904"/>
      <c r="AG7" s="1904"/>
      <c r="AH7" s="1904"/>
      <c r="AI7" s="1904"/>
      <c r="AJ7" s="1904"/>
      <c r="AK7" s="1904"/>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4" t="s">
        <v>600</v>
      </c>
      <c r="C13" s="1894"/>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2"/>
      <c r="AH13" s="1922"/>
      <c r="AI13" s="1922"/>
      <c r="AJ13" s="192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4" t="s">
        <v>600</v>
      </c>
      <c r="C16" s="1894"/>
      <c r="D16" s="581"/>
      <c r="E16" s="1905" t="s">
        <v>1418</v>
      </c>
      <c r="F16" s="1906"/>
      <c r="G16" s="1906"/>
      <c r="H16" s="1906"/>
      <c r="I16" s="1906"/>
      <c r="J16" s="1906"/>
      <c r="K16" s="1906"/>
      <c r="L16" s="1906"/>
      <c r="M16" s="1906"/>
      <c r="N16" s="1906"/>
      <c r="O16" s="1906"/>
      <c r="P16" s="1906"/>
      <c r="Q16" s="1906"/>
      <c r="R16" s="1906"/>
      <c r="S16" s="1906"/>
      <c r="T16" s="1906"/>
      <c r="U16" s="1906"/>
      <c r="V16" s="1906"/>
      <c r="W16" s="1906"/>
      <c r="X16" s="1906"/>
      <c r="Y16" s="1906"/>
      <c r="Z16" s="1906"/>
      <c r="AA16" s="1906"/>
      <c r="AB16" s="1906"/>
      <c r="AC16" s="1906"/>
      <c r="AD16" s="1906"/>
      <c r="AE16" s="1906"/>
      <c r="AF16" s="1906"/>
      <c r="AG16" s="1906"/>
      <c r="AH16" s="1906"/>
      <c r="AI16" s="1906"/>
      <c r="AJ16" s="1907"/>
      <c r="AK16" s="574"/>
      <c r="AL16" s="574"/>
      <c r="AM16" s="574"/>
      <c r="AN16" s="569"/>
      <c r="AO16" s="584">
        <f>IF($B25="yes",20,0)</f>
        <v>0</v>
      </c>
      <c r="AP16" s="14"/>
    </row>
    <row r="17" spans="1:42" s="570" customFormat="1" ht="12.75" customHeight="1">
      <c r="A17" s="574"/>
      <c r="B17" s="574"/>
      <c r="C17" s="574"/>
      <c r="D17" s="585"/>
      <c r="E17" s="1908"/>
      <c r="F17" s="1909"/>
      <c r="G17" s="1909"/>
      <c r="H17" s="1909"/>
      <c r="I17" s="1909"/>
      <c r="J17" s="1909"/>
      <c r="K17" s="1909"/>
      <c r="L17" s="1909"/>
      <c r="M17" s="1909"/>
      <c r="N17" s="1909"/>
      <c r="O17" s="1909"/>
      <c r="P17" s="1909"/>
      <c r="Q17" s="1909"/>
      <c r="R17" s="1909"/>
      <c r="S17" s="1909"/>
      <c r="T17" s="1909"/>
      <c r="U17" s="1909"/>
      <c r="V17" s="1909"/>
      <c r="W17" s="1909"/>
      <c r="X17" s="1909"/>
      <c r="Y17" s="1909"/>
      <c r="Z17" s="1909"/>
      <c r="AA17" s="1909"/>
      <c r="AB17" s="1909"/>
      <c r="AC17" s="1909"/>
      <c r="AD17" s="1909"/>
      <c r="AE17" s="1909"/>
      <c r="AF17" s="1909"/>
      <c r="AG17" s="1909"/>
      <c r="AH17" s="1909"/>
      <c r="AI17" s="1909"/>
      <c r="AJ17" s="1910"/>
      <c r="AK17" s="574"/>
      <c r="AL17" s="574"/>
      <c r="AM17" s="574"/>
      <c r="AN17" s="569"/>
      <c r="AO17" s="570">
        <f>IF(SUM(AO13:AO16)&gt;20,20,(SUM(AO13:AO16)))</f>
        <v>0</v>
      </c>
      <c r="AP17" s="570" t="s">
        <v>1419</v>
      </c>
    </row>
    <row r="18" spans="1:42" s="570" customFormat="1" ht="12.75" customHeight="1">
      <c r="A18" s="574"/>
      <c r="B18" s="574"/>
      <c r="C18" s="574"/>
      <c r="D18" s="585"/>
      <c r="E18" s="1908"/>
      <c r="F18" s="1909"/>
      <c r="G18" s="1909"/>
      <c r="H18" s="1909"/>
      <c r="I18" s="1909"/>
      <c r="J18" s="1909"/>
      <c r="K18" s="1909"/>
      <c r="L18" s="1909"/>
      <c r="M18" s="1909"/>
      <c r="N18" s="1909"/>
      <c r="O18" s="1909"/>
      <c r="P18" s="1909"/>
      <c r="Q18" s="1909"/>
      <c r="R18" s="1909"/>
      <c r="S18" s="1909"/>
      <c r="T18" s="1909"/>
      <c r="U18" s="1909"/>
      <c r="V18" s="1909"/>
      <c r="W18" s="1909"/>
      <c r="X18" s="1909"/>
      <c r="Y18" s="1909"/>
      <c r="Z18" s="1909"/>
      <c r="AA18" s="1909"/>
      <c r="AB18" s="1909"/>
      <c r="AC18" s="1909"/>
      <c r="AD18" s="1909"/>
      <c r="AE18" s="1909"/>
      <c r="AF18" s="1909"/>
      <c r="AG18" s="1909"/>
      <c r="AH18" s="1909"/>
      <c r="AI18" s="1909"/>
      <c r="AJ18" s="1910"/>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3"/>
      <c r="F20" s="1934"/>
      <c r="G20" s="1934"/>
      <c r="H20" s="1934"/>
      <c r="I20" s="1934"/>
      <c r="J20" s="1934"/>
      <c r="K20" s="1934"/>
      <c r="L20" s="1934"/>
      <c r="M20" s="1934"/>
      <c r="N20" s="1934"/>
      <c r="O20" s="1934"/>
      <c r="P20" s="1934"/>
      <c r="Q20" s="1934"/>
      <c r="R20" s="1934"/>
      <c r="S20" s="1934"/>
      <c r="T20" s="1934"/>
      <c r="U20" s="1934"/>
      <c r="V20" s="1934"/>
      <c r="W20" s="1934"/>
      <c r="X20" s="1934"/>
      <c r="Y20" s="1934"/>
      <c r="Z20" s="1934"/>
      <c r="AA20" s="1934"/>
      <c r="AB20" s="1934"/>
      <c r="AC20" s="1934"/>
      <c r="AD20" s="1934"/>
      <c r="AE20" s="1934"/>
      <c r="AF20" s="1934"/>
      <c r="AG20" s="1934"/>
      <c r="AH20" s="1934"/>
      <c r="AI20" s="1934"/>
      <c r="AJ20" s="193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4" t="s">
        <v>600</v>
      </c>
      <c r="C22" s="1894"/>
      <c r="D22" s="581"/>
      <c r="E22" s="1927" t="s">
        <v>1421</v>
      </c>
      <c r="F22" s="1928"/>
      <c r="G22" s="1928"/>
      <c r="H22" s="1928"/>
      <c r="I22" s="1928"/>
      <c r="J22" s="1928"/>
      <c r="K22" s="1928"/>
      <c r="L22" s="1928"/>
      <c r="M22" s="1928"/>
      <c r="N22" s="1928"/>
      <c r="O22" s="1928"/>
      <c r="P22" s="1928"/>
      <c r="Q22" s="1928"/>
      <c r="R22" s="1928"/>
      <c r="S22" s="1928"/>
      <c r="T22" s="1928"/>
      <c r="U22" s="1928"/>
      <c r="V22" s="1928"/>
      <c r="W22" s="1928"/>
      <c r="X22" s="1928"/>
      <c r="Y22" s="1928"/>
      <c r="Z22" s="1928"/>
      <c r="AA22" s="1928"/>
      <c r="AB22" s="1928"/>
      <c r="AC22" s="1928"/>
      <c r="AD22" s="1928"/>
      <c r="AE22" s="1928"/>
      <c r="AF22" s="1928"/>
      <c r="AG22" s="1928"/>
      <c r="AH22" s="1928"/>
      <c r="AI22" s="1928"/>
      <c r="AJ22" s="1929"/>
      <c r="AK22" s="574"/>
      <c r="AL22" s="574"/>
      <c r="AM22" s="574"/>
      <c r="AN22" s="569"/>
      <c r="AO22" s="570">
        <f>IF(SUM(AO20:AO21)&gt;14,14,SUM(AO20:AO21))</f>
        <v>0</v>
      </c>
      <c r="AP22" s="570" t="s">
        <v>1419</v>
      </c>
    </row>
    <row r="23" spans="1:42" s="570" customFormat="1" ht="12.75" customHeight="1">
      <c r="A23" s="574"/>
      <c r="B23" s="574"/>
      <c r="C23" s="574"/>
      <c r="D23" s="584"/>
      <c r="E23" s="1930"/>
      <c r="F23" s="1931"/>
      <c r="G23" s="1931"/>
      <c r="H23" s="1931"/>
      <c r="I23" s="1931"/>
      <c r="J23" s="1931"/>
      <c r="K23" s="1931"/>
      <c r="L23" s="1931"/>
      <c r="M23" s="1931"/>
      <c r="N23" s="1931"/>
      <c r="O23" s="1931"/>
      <c r="P23" s="1931"/>
      <c r="Q23" s="1931"/>
      <c r="R23" s="1931"/>
      <c r="S23" s="1931"/>
      <c r="T23" s="1931"/>
      <c r="U23" s="1931"/>
      <c r="V23" s="1931"/>
      <c r="W23" s="1931"/>
      <c r="X23" s="1931"/>
      <c r="Y23" s="1931"/>
      <c r="Z23" s="1931"/>
      <c r="AA23" s="1931"/>
      <c r="AB23" s="1931"/>
      <c r="AC23" s="1931"/>
      <c r="AD23" s="1931"/>
      <c r="AE23" s="1931"/>
      <c r="AF23" s="1931"/>
      <c r="AG23" s="1931"/>
      <c r="AH23" s="1931"/>
      <c r="AI23" s="1931"/>
      <c r="AJ23" s="193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4" t="s">
        <v>600</v>
      </c>
      <c r="C25" s="1894"/>
      <c r="D25" s="581"/>
      <c r="E25" s="1895" t="s">
        <v>2348</v>
      </c>
      <c r="F25" s="1896"/>
      <c r="G25" s="1896"/>
      <c r="H25" s="1896"/>
      <c r="I25" s="1896"/>
      <c r="J25" s="1896"/>
      <c r="K25" s="1896"/>
      <c r="L25" s="1896"/>
      <c r="M25" s="1896"/>
      <c r="N25" s="1896"/>
      <c r="O25" s="1896"/>
      <c r="P25" s="1896"/>
      <c r="Q25" s="1896"/>
      <c r="R25" s="1896"/>
      <c r="S25" s="1896"/>
      <c r="T25" s="1896"/>
      <c r="U25" s="1896"/>
      <c r="V25" s="1896"/>
      <c r="W25" s="1896"/>
      <c r="X25" s="1896"/>
      <c r="Y25" s="1896"/>
      <c r="Z25" s="1896"/>
      <c r="AA25" s="1896"/>
      <c r="AB25" s="1896"/>
      <c r="AC25" s="1896"/>
      <c r="AD25" s="1896"/>
      <c r="AE25" s="1896"/>
      <c r="AF25" s="1896"/>
      <c r="AG25" s="1896"/>
      <c r="AH25" s="1896"/>
      <c r="AI25" s="1896"/>
      <c r="AJ25" s="1897"/>
      <c r="AK25" s="574"/>
      <c r="AL25" s="574"/>
      <c r="AM25" s="574"/>
      <c r="AN25" s="569"/>
      <c r="AO25" s="570">
        <f>IF(AO24&gt;6,6,AO24)</f>
        <v>0</v>
      </c>
      <c r="AP25" s="570" t="s">
        <v>1419</v>
      </c>
    </row>
    <row r="26" spans="1:42" s="570" customFormat="1" ht="12.75" customHeight="1">
      <c r="A26" s="574"/>
      <c r="B26" s="574"/>
      <c r="C26" s="574"/>
      <c r="D26" s="584"/>
      <c r="E26" s="1898"/>
      <c r="F26" s="1899"/>
      <c r="G26" s="1899"/>
      <c r="H26" s="1899"/>
      <c r="I26" s="1899"/>
      <c r="J26" s="1899"/>
      <c r="K26" s="1899"/>
      <c r="L26" s="1899"/>
      <c r="M26" s="1899"/>
      <c r="N26" s="1899"/>
      <c r="O26" s="1899"/>
      <c r="P26" s="1899"/>
      <c r="Q26" s="1899"/>
      <c r="R26" s="1899"/>
      <c r="S26" s="1899"/>
      <c r="T26" s="1899"/>
      <c r="U26" s="1899"/>
      <c r="V26" s="1899"/>
      <c r="W26" s="1899"/>
      <c r="X26" s="1899"/>
      <c r="Y26" s="1899"/>
      <c r="Z26" s="1899"/>
      <c r="AA26" s="1899"/>
      <c r="AB26" s="1899"/>
      <c r="AC26" s="1899"/>
      <c r="AD26" s="1899"/>
      <c r="AE26" s="1899"/>
      <c r="AF26" s="1899"/>
      <c r="AG26" s="1899"/>
      <c r="AH26" s="1899"/>
      <c r="AI26" s="1899"/>
      <c r="AJ26" s="190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1894" t="s">
        <v>600</v>
      </c>
      <c r="C30" s="1894"/>
      <c r="D30" s="581"/>
      <c r="E30" s="1927" t="s">
        <v>2320</v>
      </c>
      <c r="F30" s="1928"/>
      <c r="G30" s="1928"/>
      <c r="H30" s="1928"/>
      <c r="I30" s="1928"/>
      <c r="J30" s="1928"/>
      <c r="K30" s="1928"/>
      <c r="L30" s="1928"/>
      <c r="M30" s="1928"/>
      <c r="N30" s="1928"/>
      <c r="O30" s="1928"/>
      <c r="P30" s="1928"/>
      <c r="Q30" s="1928"/>
      <c r="R30" s="1928"/>
      <c r="S30" s="1928"/>
      <c r="T30" s="1928"/>
      <c r="U30" s="1928"/>
      <c r="V30" s="1928"/>
      <c r="W30" s="1928"/>
      <c r="X30" s="1928"/>
      <c r="Y30" s="1928"/>
      <c r="Z30" s="1928"/>
      <c r="AA30" s="1928"/>
      <c r="AB30" s="1928"/>
      <c r="AC30" s="1928"/>
      <c r="AD30" s="1928"/>
      <c r="AE30" s="1928"/>
      <c r="AF30" s="1928"/>
      <c r="AG30" s="1928"/>
      <c r="AH30" s="1928"/>
      <c r="AI30" s="1928"/>
      <c r="AJ30" s="1929"/>
      <c r="AK30" s="574"/>
      <c r="AL30" s="574"/>
      <c r="AM30" s="574"/>
      <c r="AN30" s="569"/>
      <c r="AO30" s="584"/>
    </row>
    <row r="31" spans="1:42" s="570" customFormat="1" ht="12.75" customHeight="1">
      <c r="A31" s="574"/>
      <c r="B31" s="574"/>
      <c r="C31" s="574"/>
      <c r="E31" s="1930"/>
      <c r="F31" s="1931"/>
      <c r="G31" s="1931"/>
      <c r="H31" s="1931"/>
      <c r="I31" s="1931"/>
      <c r="J31" s="1931"/>
      <c r="K31" s="1931"/>
      <c r="L31" s="1931"/>
      <c r="M31" s="1931"/>
      <c r="N31" s="1931"/>
      <c r="O31" s="1931"/>
      <c r="P31" s="1931"/>
      <c r="Q31" s="1931"/>
      <c r="R31" s="1931"/>
      <c r="S31" s="1931"/>
      <c r="T31" s="1931"/>
      <c r="U31" s="1931"/>
      <c r="V31" s="1931"/>
      <c r="W31" s="1931"/>
      <c r="X31" s="1931"/>
      <c r="Y31" s="1931"/>
      <c r="Z31" s="1931"/>
      <c r="AA31" s="1931"/>
      <c r="AB31" s="1931"/>
      <c r="AC31" s="1931"/>
      <c r="AD31" s="1931"/>
      <c r="AE31" s="1931"/>
      <c r="AF31" s="1931"/>
      <c r="AG31" s="1931"/>
      <c r="AH31" s="1931"/>
      <c r="AI31" s="1931"/>
      <c r="AJ31" s="193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4" t="s">
        <v>600</v>
      </c>
      <c r="C33" s="1894"/>
      <c r="D33" s="581"/>
      <c r="E33" s="1895" t="s">
        <v>2321</v>
      </c>
      <c r="F33" s="1896"/>
      <c r="G33" s="1896"/>
      <c r="H33" s="1896"/>
      <c r="I33" s="1896"/>
      <c r="J33" s="1896"/>
      <c r="K33" s="1896"/>
      <c r="L33" s="1896"/>
      <c r="M33" s="1896"/>
      <c r="N33" s="1896"/>
      <c r="O33" s="1896"/>
      <c r="P33" s="1896"/>
      <c r="Q33" s="1896"/>
      <c r="R33" s="1896"/>
      <c r="S33" s="1896"/>
      <c r="T33" s="1896"/>
      <c r="U33" s="1896"/>
      <c r="V33" s="1896"/>
      <c r="W33" s="1896"/>
      <c r="X33" s="1896"/>
      <c r="Y33" s="1896"/>
      <c r="Z33" s="1896"/>
      <c r="AA33" s="1896"/>
      <c r="AB33" s="1896"/>
      <c r="AC33" s="1896"/>
      <c r="AD33" s="1896"/>
      <c r="AE33" s="1896"/>
      <c r="AF33" s="1896"/>
      <c r="AG33" s="1896"/>
      <c r="AH33" s="1896"/>
      <c r="AI33" s="1896"/>
      <c r="AJ33" s="1897"/>
      <c r="AK33" s="574"/>
      <c r="AL33" s="574"/>
      <c r="AM33" s="574"/>
      <c r="AN33" s="569"/>
    </row>
    <row r="34" spans="1:41" s="570" customFormat="1" ht="12.75" customHeight="1">
      <c r="A34" s="574"/>
      <c r="B34" s="574"/>
      <c r="C34" s="574"/>
      <c r="E34" s="1901"/>
      <c r="F34" s="1902"/>
      <c r="G34" s="1902"/>
      <c r="H34" s="1902"/>
      <c r="I34" s="1902"/>
      <c r="J34" s="1902"/>
      <c r="K34" s="1902"/>
      <c r="L34" s="1902"/>
      <c r="M34" s="1902"/>
      <c r="N34" s="1902"/>
      <c r="O34" s="1902"/>
      <c r="P34" s="1902"/>
      <c r="Q34" s="1902"/>
      <c r="R34" s="1902"/>
      <c r="S34" s="1902"/>
      <c r="T34" s="1902"/>
      <c r="U34" s="1902"/>
      <c r="V34" s="1902"/>
      <c r="W34" s="1902"/>
      <c r="X34" s="1902"/>
      <c r="Y34" s="1902"/>
      <c r="Z34" s="1902"/>
      <c r="AA34" s="1902"/>
      <c r="AB34" s="1902"/>
      <c r="AC34" s="1902"/>
      <c r="AD34" s="1902"/>
      <c r="AE34" s="1902"/>
      <c r="AF34" s="1902"/>
      <c r="AG34" s="1902"/>
      <c r="AH34" s="1902"/>
      <c r="AI34" s="1902"/>
      <c r="AJ34" s="1903"/>
      <c r="AK34" s="574"/>
      <c r="AL34" s="574"/>
      <c r="AM34" s="574"/>
      <c r="AN34" s="569"/>
    </row>
    <row r="35" spans="1:41" s="570" customFormat="1" ht="12.75" customHeight="1">
      <c r="A35" s="574"/>
      <c r="B35" s="574"/>
      <c r="C35" s="574"/>
      <c r="E35" s="1898"/>
      <c r="F35" s="1899"/>
      <c r="G35" s="1899"/>
      <c r="H35" s="1899"/>
      <c r="I35" s="1899"/>
      <c r="J35" s="1899"/>
      <c r="K35" s="1899"/>
      <c r="L35" s="1899"/>
      <c r="M35" s="1899"/>
      <c r="N35" s="1899"/>
      <c r="O35" s="1899"/>
      <c r="P35" s="1899"/>
      <c r="Q35" s="1899"/>
      <c r="R35" s="1899"/>
      <c r="S35" s="1899"/>
      <c r="T35" s="1899"/>
      <c r="U35" s="1899"/>
      <c r="V35" s="1899"/>
      <c r="W35" s="1899"/>
      <c r="X35" s="1899"/>
      <c r="Y35" s="1899"/>
      <c r="Z35" s="1899"/>
      <c r="AA35" s="1899"/>
      <c r="AB35" s="1899"/>
      <c r="AC35" s="1899"/>
      <c r="AD35" s="1899"/>
      <c r="AE35" s="1899"/>
      <c r="AF35" s="1899"/>
      <c r="AG35" s="1899"/>
      <c r="AH35" s="1899"/>
      <c r="AI35" s="1899"/>
      <c r="AJ35" s="190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4" t="s">
        <v>600</v>
      </c>
      <c r="C39" s="1894"/>
      <c r="D39" s="1186"/>
      <c r="E39" s="1895" t="s">
        <v>2322</v>
      </c>
      <c r="F39" s="1896"/>
      <c r="G39" s="1896"/>
      <c r="H39" s="1896"/>
      <c r="I39" s="1896"/>
      <c r="J39" s="1896"/>
      <c r="K39" s="1896"/>
      <c r="L39" s="1896"/>
      <c r="M39" s="1896"/>
      <c r="N39" s="1896"/>
      <c r="O39" s="1896"/>
      <c r="P39" s="1896"/>
      <c r="Q39" s="1896"/>
      <c r="R39" s="1896"/>
      <c r="S39" s="1896"/>
      <c r="T39" s="1896"/>
      <c r="U39" s="1896"/>
      <c r="V39" s="1896"/>
      <c r="W39" s="1896"/>
      <c r="X39" s="1896"/>
      <c r="Y39" s="1896"/>
      <c r="Z39" s="1896"/>
      <c r="AA39" s="1896"/>
      <c r="AB39" s="1896"/>
      <c r="AC39" s="1896"/>
      <c r="AD39" s="1896"/>
      <c r="AE39" s="1896"/>
      <c r="AF39" s="1896"/>
      <c r="AG39" s="1896"/>
      <c r="AH39" s="1896"/>
      <c r="AI39" s="1896"/>
      <c r="AJ39" s="1897"/>
      <c r="AK39" s="1186"/>
      <c r="AL39" s="574"/>
      <c r="AM39" s="574"/>
      <c r="AN39" s="569"/>
    </row>
    <row r="40" spans="1:41" s="570" customFormat="1" ht="12.75" customHeight="1">
      <c r="A40" s="574"/>
      <c r="B40" s="574"/>
      <c r="C40" s="574"/>
      <c r="E40" s="1901"/>
      <c r="F40" s="1902"/>
      <c r="G40" s="1902"/>
      <c r="H40" s="1902"/>
      <c r="I40" s="1902"/>
      <c r="J40" s="1902"/>
      <c r="K40" s="1902"/>
      <c r="L40" s="1902"/>
      <c r="M40" s="1902"/>
      <c r="N40" s="1902"/>
      <c r="O40" s="1902"/>
      <c r="P40" s="1902"/>
      <c r="Q40" s="1902"/>
      <c r="R40" s="1902"/>
      <c r="S40" s="1902"/>
      <c r="T40" s="1902"/>
      <c r="U40" s="1902"/>
      <c r="V40" s="1902"/>
      <c r="W40" s="1902"/>
      <c r="X40" s="1902"/>
      <c r="Y40" s="1902"/>
      <c r="Z40" s="1902"/>
      <c r="AA40" s="1902"/>
      <c r="AB40" s="1902"/>
      <c r="AC40" s="1902"/>
      <c r="AD40" s="1902"/>
      <c r="AE40" s="1902"/>
      <c r="AF40" s="1902"/>
      <c r="AG40" s="1902"/>
      <c r="AH40" s="1902"/>
      <c r="AI40" s="1902"/>
      <c r="AJ40" s="1903"/>
      <c r="AK40" s="574"/>
      <c r="AL40" s="574"/>
      <c r="AM40" s="574"/>
      <c r="AN40" s="569"/>
    </row>
    <row r="41" spans="1:41" s="570" customFormat="1" ht="12.75" customHeight="1">
      <c r="A41" s="574"/>
      <c r="D41" s="581"/>
      <c r="E41" s="1898"/>
      <c r="F41" s="1899"/>
      <c r="G41" s="1899"/>
      <c r="H41" s="1899"/>
      <c r="I41" s="1899"/>
      <c r="J41" s="1899"/>
      <c r="K41" s="1899"/>
      <c r="L41" s="1899"/>
      <c r="M41" s="1899"/>
      <c r="N41" s="1899"/>
      <c r="O41" s="1899"/>
      <c r="P41" s="1899"/>
      <c r="Q41" s="1899"/>
      <c r="R41" s="1899"/>
      <c r="S41" s="1899"/>
      <c r="T41" s="1899"/>
      <c r="U41" s="1899"/>
      <c r="V41" s="1899"/>
      <c r="W41" s="1899"/>
      <c r="X41" s="1899"/>
      <c r="Y41" s="1899"/>
      <c r="Z41" s="1899"/>
      <c r="AA41" s="1899"/>
      <c r="AB41" s="1899"/>
      <c r="AC41" s="1899"/>
      <c r="AD41" s="1899"/>
      <c r="AE41" s="1899"/>
      <c r="AF41" s="1899"/>
      <c r="AG41" s="1899"/>
      <c r="AH41" s="1899"/>
      <c r="AI41" s="1899"/>
      <c r="AJ41" s="190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4" t="s">
        <v>600</v>
      </c>
      <c r="C46" s="1894"/>
      <c r="D46" s="574"/>
      <c r="E46" s="1895" t="s">
        <v>2327</v>
      </c>
      <c r="F46" s="1896"/>
      <c r="G46" s="1896"/>
      <c r="H46" s="1896"/>
      <c r="I46" s="1896"/>
      <c r="J46" s="1896"/>
      <c r="K46" s="1896"/>
      <c r="L46" s="1896"/>
      <c r="M46" s="1896"/>
      <c r="N46" s="1896"/>
      <c r="O46" s="1896"/>
      <c r="P46" s="1896"/>
      <c r="Q46" s="1896"/>
      <c r="R46" s="1896"/>
      <c r="S46" s="1896"/>
      <c r="T46" s="1896"/>
      <c r="U46" s="1896"/>
      <c r="V46" s="1896"/>
      <c r="W46" s="1896"/>
      <c r="X46" s="1896"/>
      <c r="Y46" s="1896"/>
      <c r="Z46" s="1896"/>
      <c r="AA46" s="1896"/>
      <c r="AB46" s="1896"/>
      <c r="AC46" s="1896"/>
      <c r="AD46" s="1896"/>
      <c r="AE46" s="1896"/>
      <c r="AF46" s="1896"/>
      <c r="AG46" s="1896"/>
      <c r="AH46" s="1896"/>
      <c r="AI46" s="1896"/>
      <c r="AJ46" s="1897"/>
      <c r="AK46" s="574"/>
      <c r="AL46" s="574"/>
      <c r="AM46" s="574"/>
      <c r="AN46" s="569"/>
      <c r="AO46" s="593"/>
    </row>
    <row r="47" spans="1:41" s="570" customFormat="1" ht="12.75" customHeight="1">
      <c r="A47" s="574"/>
      <c r="D47" s="581"/>
      <c r="E47" s="1901"/>
      <c r="F47" s="1902"/>
      <c r="G47" s="1902"/>
      <c r="H47" s="1902"/>
      <c r="I47" s="1902"/>
      <c r="J47" s="1902"/>
      <c r="K47" s="1902"/>
      <c r="L47" s="1902"/>
      <c r="M47" s="1902"/>
      <c r="N47" s="1902"/>
      <c r="O47" s="1902"/>
      <c r="P47" s="1902"/>
      <c r="Q47" s="1902"/>
      <c r="R47" s="1902"/>
      <c r="S47" s="1902"/>
      <c r="T47" s="1902"/>
      <c r="U47" s="1902"/>
      <c r="V47" s="1902"/>
      <c r="W47" s="1902"/>
      <c r="X47" s="1902"/>
      <c r="Y47" s="1902"/>
      <c r="Z47" s="1902"/>
      <c r="AA47" s="1902"/>
      <c r="AB47" s="1902"/>
      <c r="AC47" s="1902"/>
      <c r="AD47" s="1902"/>
      <c r="AE47" s="1902"/>
      <c r="AF47" s="1902"/>
      <c r="AG47" s="1902"/>
      <c r="AH47" s="1902"/>
      <c r="AI47" s="1902"/>
      <c r="AJ47" s="1903"/>
      <c r="AK47" s="574"/>
      <c r="AL47" s="574"/>
      <c r="AM47" s="574"/>
      <c r="AN47" s="569"/>
      <c r="AO47" s="593"/>
    </row>
    <row r="48" spans="1:41" s="570" customFormat="1" ht="12.75" customHeight="1">
      <c r="A48" s="574"/>
      <c r="D48" s="574"/>
      <c r="E48" s="1898"/>
      <c r="F48" s="1899"/>
      <c r="G48" s="1899"/>
      <c r="H48" s="1899"/>
      <c r="I48" s="1899"/>
      <c r="J48" s="1899"/>
      <c r="K48" s="1899"/>
      <c r="L48" s="1899"/>
      <c r="M48" s="1899"/>
      <c r="N48" s="1899"/>
      <c r="O48" s="1899"/>
      <c r="P48" s="1899"/>
      <c r="Q48" s="1899"/>
      <c r="R48" s="1899"/>
      <c r="S48" s="1899"/>
      <c r="T48" s="1899"/>
      <c r="U48" s="1899"/>
      <c r="V48" s="1899"/>
      <c r="W48" s="1899"/>
      <c r="X48" s="1899"/>
      <c r="Y48" s="1899"/>
      <c r="Z48" s="1899"/>
      <c r="AA48" s="1899"/>
      <c r="AB48" s="1899"/>
      <c r="AC48" s="1899"/>
      <c r="AD48" s="1899"/>
      <c r="AE48" s="1899"/>
      <c r="AF48" s="1899"/>
      <c r="AG48" s="1899"/>
      <c r="AH48" s="1899"/>
      <c r="AI48" s="1899"/>
      <c r="AJ48" s="190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4" t="s">
        <v>600</v>
      </c>
      <c r="C50" s="1894"/>
      <c r="D50" s="574"/>
      <c r="E50" s="1915" t="s">
        <v>2328</v>
      </c>
      <c r="F50" s="1916"/>
      <c r="G50" s="1916"/>
      <c r="H50" s="1916"/>
      <c r="I50" s="1916"/>
      <c r="J50" s="1916"/>
      <c r="K50" s="1916"/>
      <c r="L50" s="1916"/>
      <c r="M50" s="1916"/>
      <c r="N50" s="1916"/>
      <c r="O50" s="1916"/>
      <c r="P50" s="1916"/>
      <c r="Q50" s="1916"/>
      <c r="R50" s="1916"/>
      <c r="S50" s="1916"/>
      <c r="T50" s="1916"/>
      <c r="U50" s="1916"/>
      <c r="V50" s="1916"/>
      <c r="W50" s="1916"/>
      <c r="X50" s="1916"/>
      <c r="Y50" s="1916"/>
      <c r="Z50" s="1916"/>
      <c r="AA50" s="1916"/>
      <c r="AB50" s="1916"/>
      <c r="AC50" s="1916"/>
      <c r="AD50" s="1916"/>
      <c r="AE50" s="1916"/>
      <c r="AF50" s="1916"/>
      <c r="AG50" s="1916"/>
      <c r="AH50" s="1916"/>
      <c r="AI50" s="1916"/>
      <c r="AJ50" s="1917"/>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4" t="s">
        <v>600</v>
      </c>
      <c r="C52" s="1894"/>
      <c r="D52" s="574"/>
      <c r="E52" s="1895" t="s">
        <v>2329</v>
      </c>
      <c r="F52" s="1896"/>
      <c r="G52" s="1896"/>
      <c r="H52" s="1896"/>
      <c r="I52" s="1896"/>
      <c r="J52" s="1896"/>
      <c r="K52" s="1896"/>
      <c r="L52" s="1896"/>
      <c r="M52" s="1896"/>
      <c r="N52" s="1896"/>
      <c r="O52" s="1896"/>
      <c r="P52" s="1896"/>
      <c r="Q52" s="1896"/>
      <c r="R52" s="1896"/>
      <c r="S52" s="1896"/>
      <c r="T52" s="1896"/>
      <c r="U52" s="1896"/>
      <c r="V52" s="1896"/>
      <c r="W52" s="1896"/>
      <c r="X52" s="1896"/>
      <c r="Y52" s="1896"/>
      <c r="Z52" s="1896"/>
      <c r="AA52" s="1896"/>
      <c r="AB52" s="1896"/>
      <c r="AC52" s="1896"/>
      <c r="AD52" s="1896"/>
      <c r="AE52" s="1896"/>
      <c r="AF52" s="1896"/>
      <c r="AG52" s="1896"/>
      <c r="AH52" s="1896"/>
      <c r="AI52" s="1896"/>
      <c r="AJ52" s="1897"/>
      <c r="AK52" s="574"/>
      <c r="AL52" s="574"/>
      <c r="AM52" s="574"/>
      <c r="AN52" s="569"/>
    </row>
    <row r="53" spans="1:50" s="570" customFormat="1" ht="12.75" customHeight="1">
      <c r="A53" s="574"/>
      <c r="B53" s="581"/>
      <c r="C53" s="581"/>
      <c r="D53" s="581"/>
      <c r="E53" s="1898"/>
      <c r="F53" s="1899"/>
      <c r="G53" s="1899"/>
      <c r="H53" s="1899"/>
      <c r="I53" s="1899"/>
      <c r="J53" s="1899"/>
      <c r="K53" s="1899"/>
      <c r="L53" s="1899"/>
      <c r="M53" s="1899"/>
      <c r="N53" s="1899"/>
      <c r="O53" s="1899"/>
      <c r="P53" s="1899"/>
      <c r="Q53" s="1899"/>
      <c r="R53" s="1899"/>
      <c r="S53" s="1899"/>
      <c r="T53" s="1899"/>
      <c r="U53" s="1899"/>
      <c r="V53" s="1899"/>
      <c r="W53" s="1899"/>
      <c r="X53" s="1899"/>
      <c r="Y53" s="1899"/>
      <c r="Z53" s="1899"/>
      <c r="AA53" s="1899"/>
      <c r="AB53" s="1899"/>
      <c r="AC53" s="1899"/>
      <c r="AD53" s="1899"/>
      <c r="AE53" s="1899"/>
      <c r="AF53" s="1899"/>
      <c r="AG53" s="1899"/>
      <c r="AH53" s="1899"/>
      <c r="AI53" s="1899"/>
      <c r="AJ53" s="190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1924">
        <f>AO36</f>
        <v>0</v>
      </c>
      <c r="AL56" s="1925"/>
      <c r="AM56" s="192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4" t="s">
        <v>1425</v>
      </c>
      <c r="AF59" s="1904"/>
      <c r="AG59" s="1904"/>
      <c r="AH59" s="1904"/>
      <c r="AI59" s="1904"/>
      <c r="AJ59" s="1904"/>
      <c r="AK59" s="1904"/>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4" t="s">
        <v>554</v>
      </c>
      <c r="C62" s="1894"/>
      <c r="D62" s="581" t="s">
        <v>1426</v>
      </c>
      <c r="E62" s="1905" t="s">
        <v>2330</v>
      </c>
      <c r="F62" s="1906"/>
      <c r="G62" s="1906"/>
      <c r="H62" s="1906"/>
      <c r="I62" s="1906"/>
      <c r="J62" s="1906"/>
      <c r="K62" s="1906"/>
      <c r="L62" s="1906"/>
      <c r="M62" s="1906"/>
      <c r="N62" s="1906"/>
      <c r="O62" s="1906"/>
      <c r="P62" s="1906"/>
      <c r="Q62" s="1906"/>
      <c r="R62" s="1906"/>
      <c r="S62" s="1906"/>
      <c r="T62" s="1906"/>
      <c r="U62" s="1906"/>
      <c r="V62" s="1906"/>
      <c r="W62" s="1906"/>
      <c r="X62" s="1906"/>
      <c r="Y62" s="1906"/>
      <c r="Z62" s="1906"/>
      <c r="AA62" s="1906"/>
      <c r="AB62" s="1906"/>
      <c r="AC62" s="1906"/>
      <c r="AD62" s="1906"/>
      <c r="AE62" s="1906"/>
      <c r="AF62" s="1906"/>
      <c r="AG62" s="1906"/>
      <c r="AH62" s="1906"/>
      <c r="AI62" s="1906"/>
      <c r="AJ62" s="1907"/>
      <c r="AK62" s="577"/>
      <c r="AL62" s="574"/>
      <c r="AM62" s="574"/>
      <c r="AN62" s="569"/>
      <c r="AO62" s="584">
        <f>IF($B62="yes",10,0)</f>
        <v>10</v>
      </c>
    </row>
    <row r="63" spans="1:50" s="570" customFormat="1" ht="12.75" customHeight="1">
      <c r="A63" s="572"/>
      <c r="B63" s="574"/>
      <c r="C63" s="574"/>
      <c r="D63" s="585"/>
      <c r="E63" s="1908"/>
      <c r="F63" s="1909"/>
      <c r="G63" s="1909"/>
      <c r="H63" s="1909"/>
      <c r="I63" s="1909"/>
      <c r="J63" s="1909"/>
      <c r="K63" s="1909"/>
      <c r="L63" s="1909"/>
      <c r="M63" s="1909"/>
      <c r="N63" s="1909"/>
      <c r="O63" s="1909"/>
      <c r="P63" s="1909"/>
      <c r="Q63" s="1909"/>
      <c r="R63" s="1909"/>
      <c r="S63" s="1909"/>
      <c r="T63" s="1909"/>
      <c r="U63" s="1909"/>
      <c r="V63" s="1909"/>
      <c r="W63" s="1909"/>
      <c r="X63" s="1909"/>
      <c r="Y63" s="1909"/>
      <c r="Z63" s="1909"/>
      <c r="AA63" s="1909"/>
      <c r="AB63" s="1909"/>
      <c r="AC63" s="1909"/>
      <c r="AD63" s="1909"/>
      <c r="AE63" s="1909"/>
      <c r="AF63" s="1909"/>
      <c r="AG63" s="1909"/>
      <c r="AH63" s="1909"/>
      <c r="AI63" s="1909"/>
      <c r="AJ63" s="1910"/>
      <c r="AK63" s="577"/>
      <c r="AL63" s="574"/>
      <c r="AM63" s="574"/>
      <c r="AN63" s="569"/>
      <c r="AO63" s="584">
        <f>IF($B68="yes",10,0)</f>
        <v>10</v>
      </c>
    </row>
    <row r="64" spans="1:50" s="570" customFormat="1" ht="12.75" customHeight="1">
      <c r="A64" s="572"/>
      <c r="B64" s="574"/>
      <c r="C64" s="574"/>
      <c r="D64" s="585"/>
      <c r="E64" s="1908"/>
      <c r="F64" s="1909"/>
      <c r="G64" s="1909"/>
      <c r="H64" s="1909"/>
      <c r="I64" s="1909"/>
      <c r="J64" s="1909"/>
      <c r="K64" s="1909"/>
      <c r="L64" s="1909"/>
      <c r="M64" s="1909"/>
      <c r="N64" s="1909"/>
      <c r="O64" s="1909"/>
      <c r="P64" s="1909"/>
      <c r="Q64" s="1909"/>
      <c r="R64" s="1909"/>
      <c r="S64" s="1909"/>
      <c r="T64" s="1909"/>
      <c r="U64" s="1909"/>
      <c r="V64" s="1909"/>
      <c r="W64" s="1909"/>
      <c r="X64" s="1909"/>
      <c r="Y64" s="1909"/>
      <c r="Z64" s="1909"/>
      <c r="AA64" s="1909"/>
      <c r="AB64" s="1909"/>
      <c r="AC64" s="1909"/>
      <c r="AD64" s="1909"/>
      <c r="AE64" s="1909"/>
      <c r="AF64" s="1909"/>
      <c r="AG64" s="1909"/>
      <c r="AH64" s="1909"/>
      <c r="AI64" s="1909"/>
      <c r="AJ64" s="1910"/>
      <c r="AK64" s="577"/>
      <c r="AL64" s="574"/>
      <c r="AM64" s="574"/>
      <c r="AN64" s="569"/>
      <c r="AO64" s="584">
        <f>IF($B75="yes",10,0)</f>
        <v>0</v>
      </c>
    </row>
    <row r="65" spans="1:42" s="570" customFormat="1" ht="12.75" customHeight="1">
      <c r="A65" s="572"/>
      <c r="B65" s="574"/>
      <c r="C65" s="574"/>
      <c r="D65" s="585"/>
      <c r="E65" s="1908"/>
      <c r="F65" s="1909"/>
      <c r="G65" s="1909"/>
      <c r="H65" s="1909"/>
      <c r="I65" s="1909"/>
      <c r="J65" s="1909"/>
      <c r="K65" s="1909"/>
      <c r="L65" s="1909"/>
      <c r="M65" s="1909"/>
      <c r="N65" s="1909"/>
      <c r="O65" s="1909"/>
      <c r="P65" s="1909"/>
      <c r="Q65" s="1909"/>
      <c r="R65" s="1909"/>
      <c r="S65" s="1909"/>
      <c r="T65" s="1909"/>
      <c r="U65" s="1909"/>
      <c r="V65" s="1909"/>
      <c r="W65" s="1909"/>
      <c r="X65" s="1909"/>
      <c r="Y65" s="1909"/>
      <c r="Z65" s="1909"/>
      <c r="AA65" s="1909"/>
      <c r="AB65" s="1909"/>
      <c r="AC65" s="1909"/>
      <c r="AD65" s="1909"/>
      <c r="AE65" s="1909"/>
      <c r="AF65" s="1909"/>
      <c r="AG65" s="1909"/>
      <c r="AH65" s="1909"/>
      <c r="AI65" s="1909"/>
      <c r="AJ65" s="1910"/>
      <c r="AK65" s="577"/>
      <c r="AL65" s="574"/>
      <c r="AM65" s="574"/>
      <c r="AN65" s="569"/>
      <c r="AO65" s="570">
        <f>IF(SUM(AO62:AO64)&gt;10,10,(SUM(AO62:AO64)))</f>
        <v>10</v>
      </c>
      <c r="AP65" s="608" t="s">
        <v>1427</v>
      </c>
    </row>
    <row r="66" spans="1:42" s="570" customFormat="1" ht="12.75" customHeight="1">
      <c r="A66" s="572"/>
      <c r="B66" s="574"/>
      <c r="C66" s="574"/>
      <c r="D66" s="585"/>
      <c r="E66" s="1911"/>
      <c r="F66" s="1912"/>
      <c r="G66" s="1912"/>
      <c r="H66" s="1912"/>
      <c r="I66" s="1912"/>
      <c r="J66" s="1912"/>
      <c r="K66" s="1912"/>
      <c r="L66" s="1912"/>
      <c r="M66" s="1912"/>
      <c r="N66" s="1912"/>
      <c r="O66" s="1912"/>
      <c r="P66" s="1912"/>
      <c r="Q66" s="1912"/>
      <c r="R66" s="1912"/>
      <c r="S66" s="1912"/>
      <c r="T66" s="1912"/>
      <c r="U66" s="1912"/>
      <c r="V66" s="1912"/>
      <c r="W66" s="1912"/>
      <c r="X66" s="1912"/>
      <c r="Y66" s="1912"/>
      <c r="Z66" s="1912"/>
      <c r="AA66" s="1912"/>
      <c r="AB66" s="1912"/>
      <c r="AC66" s="1912"/>
      <c r="AD66" s="1912"/>
      <c r="AE66" s="1912"/>
      <c r="AF66" s="1912"/>
      <c r="AG66" s="1912"/>
      <c r="AH66" s="1912"/>
      <c r="AI66" s="1912"/>
      <c r="AJ66" s="1913"/>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4" t="s">
        <v>554</v>
      </c>
      <c r="C68" s="1894"/>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4" t="s">
        <v>554</v>
      </c>
      <c r="F69" s="1894"/>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2" t="s">
        <v>600</v>
      </c>
      <c r="F70" s="1893"/>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2" t="s">
        <v>600</v>
      </c>
      <c r="F71" s="1893"/>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4" t="s">
        <v>600</v>
      </c>
      <c r="F73" s="1894"/>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4" t="s">
        <v>600</v>
      </c>
      <c r="C75" s="1894"/>
      <c r="D75" s="581" t="s">
        <v>1431</v>
      </c>
      <c r="E75" s="1895" t="s">
        <v>1930</v>
      </c>
      <c r="F75" s="1896"/>
      <c r="G75" s="1896"/>
      <c r="H75" s="1896"/>
      <c r="I75" s="1896"/>
      <c r="J75" s="1896"/>
      <c r="K75" s="1896"/>
      <c r="L75" s="1896"/>
      <c r="M75" s="1896"/>
      <c r="N75" s="1896"/>
      <c r="O75" s="1896"/>
      <c r="P75" s="1896"/>
      <c r="Q75" s="1896"/>
      <c r="R75" s="1896"/>
      <c r="S75" s="1896"/>
      <c r="T75" s="1896"/>
      <c r="U75" s="1896"/>
      <c r="V75" s="1896"/>
      <c r="W75" s="1896"/>
      <c r="X75" s="1896"/>
      <c r="Y75" s="1896"/>
      <c r="Z75" s="1896"/>
      <c r="AA75" s="1896"/>
      <c r="AB75" s="1896"/>
      <c r="AC75" s="1896"/>
      <c r="AD75" s="1896"/>
      <c r="AE75" s="1896"/>
      <c r="AF75" s="1896"/>
      <c r="AG75" s="1896"/>
      <c r="AH75" s="1896"/>
      <c r="AI75" s="1896"/>
      <c r="AJ75" s="1897"/>
      <c r="AK75" s="577"/>
      <c r="AL75" s="574"/>
      <c r="AM75" s="574"/>
      <c r="AN75" s="569"/>
    </row>
    <row r="76" spans="1:42" s="570" customFormat="1" ht="12.75" customHeight="1">
      <c r="A76" s="572"/>
      <c r="B76" s="574"/>
      <c r="C76" s="574"/>
      <c r="D76" s="584"/>
      <c r="E76" s="1898"/>
      <c r="F76" s="1899"/>
      <c r="G76" s="1899"/>
      <c r="H76" s="1899"/>
      <c r="I76" s="1899"/>
      <c r="J76" s="1899"/>
      <c r="K76" s="1899"/>
      <c r="L76" s="1899"/>
      <c r="M76" s="1899"/>
      <c r="N76" s="1899"/>
      <c r="O76" s="1899"/>
      <c r="P76" s="1899"/>
      <c r="Q76" s="1899"/>
      <c r="R76" s="1899"/>
      <c r="S76" s="1899"/>
      <c r="T76" s="1899"/>
      <c r="U76" s="1899"/>
      <c r="V76" s="1899"/>
      <c r="W76" s="1899"/>
      <c r="X76" s="1899"/>
      <c r="Y76" s="1899"/>
      <c r="Z76" s="1899"/>
      <c r="AA76" s="1899"/>
      <c r="AB76" s="1899"/>
      <c r="AC76" s="1899"/>
      <c r="AD76" s="1899"/>
      <c r="AE76" s="1899"/>
      <c r="AF76" s="1899"/>
      <c r="AG76" s="1899"/>
      <c r="AH76" s="1899"/>
      <c r="AI76" s="1899"/>
      <c r="AJ76" s="190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1924">
        <f>IF(AK56&gt;0,0,AO65)</f>
        <v>10</v>
      </c>
      <c r="AL78" s="1925"/>
      <c r="AM78" s="192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4" t="s">
        <v>1416</v>
      </c>
      <c r="AF81" s="1904"/>
      <c r="AG81" s="1904"/>
      <c r="AH81" s="1904"/>
      <c r="AI81" s="1904"/>
      <c r="AJ81" s="1904"/>
      <c r="AK81" s="1904"/>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4" t="s">
        <v>600</v>
      </c>
      <c r="C84" s="1894"/>
      <c r="D84" s="581" t="s">
        <v>1426</v>
      </c>
      <c r="E84" s="1905" t="s">
        <v>1436</v>
      </c>
      <c r="F84" s="1906"/>
      <c r="G84" s="1906"/>
      <c r="H84" s="1906"/>
      <c r="I84" s="1906"/>
      <c r="J84" s="1906"/>
      <c r="K84" s="1906"/>
      <c r="L84" s="1906"/>
      <c r="M84" s="1906"/>
      <c r="N84" s="1906"/>
      <c r="O84" s="1906"/>
      <c r="P84" s="1906"/>
      <c r="Q84" s="1906"/>
      <c r="R84" s="1906"/>
      <c r="S84" s="1906"/>
      <c r="T84" s="1906"/>
      <c r="U84" s="1906"/>
      <c r="V84" s="1906"/>
      <c r="W84" s="1906"/>
      <c r="X84" s="1906"/>
      <c r="Y84" s="1906"/>
      <c r="Z84" s="1906"/>
      <c r="AA84" s="1906"/>
      <c r="AB84" s="1906"/>
      <c r="AC84" s="1906"/>
      <c r="AD84" s="1906"/>
      <c r="AE84" s="1906"/>
      <c r="AF84" s="1906"/>
      <c r="AG84" s="1906"/>
      <c r="AH84" s="1906"/>
      <c r="AI84" s="1906"/>
      <c r="AJ84" s="1907"/>
      <c r="AK84" s="577"/>
      <c r="AL84" s="574"/>
      <c r="AM84" s="574"/>
      <c r="AN84" s="569"/>
    </row>
    <row r="85" spans="1:43" s="570" customFormat="1" ht="12.75" customHeight="1">
      <c r="A85" s="572"/>
      <c r="B85" s="573"/>
      <c r="C85" s="573"/>
      <c r="D85" s="573"/>
      <c r="E85" s="1908"/>
      <c r="F85" s="1909"/>
      <c r="G85" s="1909"/>
      <c r="H85" s="1909"/>
      <c r="I85" s="1909"/>
      <c r="J85" s="1909"/>
      <c r="K85" s="1909"/>
      <c r="L85" s="1909"/>
      <c r="M85" s="1909"/>
      <c r="N85" s="1909"/>
      <c r="O85" s="1909"/>
      <c r="P85" s="1909"/>
      <c r="Q85" s="1909"/>
      <c r="R85" s="1909"/>
      <c r="S85" s="1909"/>
      <c r="T85" s="1909"/>
      <c r="U85" s="1909"/>
      <c r="V85" s="1909"/>
      <c r="W85" s="1909"/>
      <c r="X85" s="1909"/>
      <c r="Y85" s="1909"/>
      <c r="Z85" s="1909"/>
      <c r="AA85" s="1909"/>
      <c r="AB85" s="1909"/>
      <c r="AC85" s="1909"/>
      <c r="AD85" s="1909"/>
      <c r="AE85" s="1909"/>
      <c r="AF85" s="1909"/>
      <c r="AG85" s="1909"/>
      <c r="AH85" s="1909"/>
      <c r="AI85" s="1909"/>
      <c r="AJ85" s="191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8">
        <f>Application!AC753</f>
        <v>0.4994350282485876</v>
      </c>
      <c r="F87" s="1889"/>
      <c r="G87" s="1889"/>
      <c r="H87" s="1889"/>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0">
        <f>0.6-ROUNDUP(E87,2)</f>
        <v>9.9999999999999978E-2</v>
      </c>
      <c r="F88" s="1891"/>
      <c r="G88" s="1891"/>
      <c r="H88" s="1891"/>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8">
        <f>IF(E88*200&gt;20,20,E88*200)</f>
        <v>19.999999999999996</v>
      </c>
      <c r="F89" s="1919"/>
      <c r="G89" s="1919"/>
      <c r="H89" s="1919"/>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4" t="s">
        <v>554</v>
      </c>
      <c r="C92" s="1894"/>
      <c r="D92" s="581" t="s">
        <v>1428</v>
      </c>
      <c r="E92" s="1905" t="s">
        <v>1915</v>
      </c>
      <c r="F92" s="1906"/>
      <c r="G92" s="1906"/>
      <c r="H92" s="1906"/>
      <c r="I92" s="1906"/>
      <c r="J92" s="1906"/>
      <c r="K92" s="1906"/>
      <c r="L92" s="1906"/>
      <c r="M92" s="1906"/>
      <c r="N92" s="1906"/>
      <c r="O92" s="1906"/>
      <c r="P92" s="1906"/>
      <c r="Q92" s="1906"/>
      <c r="R92" s="1906"/>
      <c r="S92" s="1906"/>
      <c r="T92" s="1906"/>
      <c r="U92" s="1906"/>
      <c r="V92" s="1906"/>
      <c r="W92" s="1906"/>
      <c r="X92" s="1906"/>
      <c r="Y92" s="1906"/>
      <c r="Z92" s="1906"/>
      <c r="AA92" s="1906"/>
      <c r="AB92" s="1906"/>
      <c r="AC92" s="1906"/>
      <c r="AD92" s="1906"/>
      <c r="AE92" s="1906"/>
      <c r="AF92" s="1906"/>
      <c r="AG92" s="1906"/>
      <c r="AH92" s="1906"/>
      <c r="AI92" s="1906"/>
      <c r="AJ92" s="1907"/>
      <c r="AK92" s="577"/>
      <c r="AL92" s="574"/>
      <c r="AM92" s="574"/>
      <c r="AN92" s="569"/>
    </row>
    <row r="93" spans="1:43" s="570" customFormat="1" ht="12.75" customHeight="1">
      <c r="A93" s="572"/>
      <c r="B93" s="573"/>
      <c r="C93" s="573"/>
      <c r="D93" s="573"/>
      <c r="E93" s="1908"/>
      <c r="F93" s="1909"/>
      <c r="G93" s="1909"/>
      <c r="H93" s="1909"/>
      <c r="I93" s="1909"/>
      <c r="J93" s="1909"/>
      <c r="K93" s="1909"/>
      <c r="L93" s="1909"/>
      <c r="M93" s="1909"/>
      <c r="N93" s="1909"/>
      <c r="O93" s="1909"/>
      <c r="P93" s="1909"/>
      <c r="Q93" s="1909"/>
      <c r="R93" s="1909"/>
      <c r="S93" s="1909"/>
      <c r="T93" s="1909"/>
      <c r="U93" s="1909"/>
      <c r="V93" s="1909"/>
      <c r="W93" s="1909"/>
      <c r="X93" s="1909"/>
      <c r="Y93" s="1909"/>
      <c r="Z93" s="1909"/>
      <c r="AA93" s="1909"/>
      <c r="AB93" s="1909"/>
      <c r="AC93" s="1909"/>
      <c r="AD93" s="1909"/>
      <c r="AE93" s="1909"/>
      <c r="AF93" s="1909"/>
      <c r="AG93" s="1909"/>
      <c r="AH93" s="1909"/>
      <c r="AI93" s="1909"/>
      <c r="AJ93" s="1910"/>
      <c r="AK93" s="577"/>
      <c r="AL93" s="574"/>
      <c r="AM93" s="574"/>
      <c r="AN93" s="569"/>
    </row>
    <row r="94" spans="1:43" s="570" customFormat="1" ht="12.75" customHeight="1">
      <c r="A94" s="572"/>
      <c r="B94" s="573"/>
      <c r="C94" s="573"/>
      <c r="D94" s="573"/>
      <c r="E94" s="1908"/>
      <c r="F94" s="1909"/>
      <c r="G94" s="1909"/>
      <c r="H94" s="1909"/>
      <c r="I94" s="1909"/>
      <c r="J94" s="1909"/>
      <c r="K94" s="1909"/>
      <c r="L94" s="1909"/>
      <c r="M94" s="1909"/>
      <c r="N94" s="1909"/>
      <c r="O94" s="1909"/>
      <c r="P94" s="1909"/>
      <c r="Q94" s="1909"/>
      <c r="R94" s="1909"/>
      <c r="S94" s="1909"/>
      <c r="T94" s="1909"/>
      <c r="U94" s="1909"/>
      <c r="V94" s="1909"/>
      <c r="W94" s="1909"/>
      <c r="X94" s="1909"/>
      <c r="Y94" s="1909"/>
      <c r="Z94" s="1909"/>
      <c r="AA94" s="1909"/>
      <c r="AB94" s="1909"/>
      <c r="AC94" s="1909"/>
      <c r="AD94" s="1909"/>
      <c r="AE94" s="1909"/>
      <c r="AF94" s="1909"/>
      <c r="AG94" s="1909"/>
      <c r="AH94" s="1909"/>
      <c r="AI94" s="1909"/>
      <c r="AJ94" s="1910"/>
      <c r="AK94" s="577"/>
      <c r="AL94" s="574"/>
      <c r="AM94" s="574"/>
      <c r="AN94" s="569"/>
    </row>
    <row r="95" spans="1:43" s="570" customFormat="1" ht="12.75" customHeight="1">
      <c r="A95" s="572"/>
      <c r="B95" s="573"/>
      <c r="C95" s="573"/>
      <c r="D95" s="573"/>
      <c r="E95" s="1908"/>
      <c r="F95" s="1909"/>
      <c r="G95" s="1909"/>
      <c r="H95" s="1909"/>
      <c r="I95" s="1909"/>
      <c r="J95" s="1909"/>
      <c r="K95" s="1909"/>
      <c r="L95" s="1909"/>
      <c r="M95" s="1909"/>
      <c r="N95" s="1909"/>
      <c r="O95" s="1909"/>
      <c r="P95" s="1909"/>
      <c r="Q95" s="1909"/>
      <c r="R95" s="1909"/>
      <c r="S95" s="1909"/>
      <c r="T95" s="1909"/>
      <c r="U95" s="1909"/>
      <c r="V95" s="1909"/>
      <c r="W95" s="1909"/>
      <c r="X95" s="1909"/>
      <c r="Y95" s="1909"/>
      <c r="Z95" s="1909"/>
      <c r="AA95" s="1909"/>
      <c r="AB95" s="1909"/>
      <c r="AC95" s="1909"/>
      <c r="AD95" s="1909"/>
      <c r="AE95" s="1909"/>
      <c r="AF95" s="1909"/>
      <c r="AG95" s="1909"/>
      <c r="AH95" s="1909"/>
      <c r="AI95" s="1909"/>
      <c r="AJ95" s="191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8">
        <f>Application!AC753</f>
        <v>0.4994350282485876</v>
      </c>
      <c r="F97" s="1889"/>
      <c r="G97" s="1889"/>
      <c r="H97" s="1889"/>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8">
        <f ca="1">SUMIF(Application!AC718:AG752,0.2,Application!G718:J752)/Application!G753+SUMIF(Application!AC718:AG752,0.25,Application!G718:J752)/Application!G753+SUMIF(Application!AC718:AG752,0.3,Application!G718:J752)/Application!G753</f>
        <v>0.25423728813559321</v>
      </c>
      <c r="F98" s="1889"/>
      <c r="G98" s="1889"/>
      <c r="H98" s="1889"/>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8">
        <f ca="1">SUMIF(Application!AC718:AG752,0.35,Application!G718:J752)/Application!G753+SUMIF(Application!AC718:AG752,0.4,Application!G718:J752)/Application!G753+SUMIF(Application!AC718:AG752,0.45,Application!G718:J752)/Application!G753+SUMIF(Application!AC718:AG752,0.5,Application!G718:J752)/Application!G753</f>
        <v>0.24293785310734464</v>
      </c>
      <c r="F99" s="1889"/>
      <c r="G99" s="1889"/>
      <c r="H99" s="1889"/>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3">
        <f ca="1">IF(AND(E97&lt;=0.6,E98&gt;=0.1,OR(E99&gt;=0.1,E98&gt;=0.2)),20,0)</f>
        <v>20</v>
      </c>
      <c r="F100" s="1944"/>
      <c r="G100" s="1944"/>
      <c r="H100" s="1944"/>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1924">
        <f ca="1">MAX(AP89,AP100)</f>
        <v>20</v>
      </c>
      <c r="AL103" s="1925"/>
      <c r="AM103" s="192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4" t="s">
        <v>1425</v>
      </c>
      <c r="AF106" s="1904"/>
      <c r="AG106" s="1904"/>
      <c r="AH106" s="1904"/>
      <c r="AI106" s="1904"/>
      <c r="AJ106" s="1904"/>
      <c r="AK106" s="1904"/>
      <c r="AL106" s="574"/>
      <c r="AM106" s="574"/>
      <c r="AN106" s="569"/>
      <c r="AO106" s="570" t="str">
        <f>Application!B718</f>
        <v>SRO/Studio</v>
      </c>
      <c r="AQ106" s="570">
        <f>Application!O718</f>
        <v>685</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1216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1481</v>
      </c>
    </row>
    <row r="109" spans="1:49" s="570" customFormat="1" ht="12.75" customHeight="1">
      <c r="A109" s="574"/>
      <c r="B109" s="1894" t="s">
        <v>554</v>
      </c>
      <c r="C109" s="1894"/>
      <c r="D109" s="581" t="s">
        <v>1426</v>
      </c>
      <c r="E109" s="1905" t="s">
        <v>2049</v>
      </c>
      <c r="F109" s="1906"/>
      <c r="G109" s="1906"/>
      <c r="H109" s="1906"/>
      <c r="I109" s="1906"/>
      <c r="J109" s="1906"/>
      <c r="K109" s="1906"/>
      <c r="L109" s="1906"/>
      <c r="M109" s="1906"/>
      <c r="N109" s="1906"/>
      <c r="O109" s="1906"/>
      <c r="P109" s="1906"/>
      <c r="Q109" s="1906"/>
      <c r="R109" s="1906"/>
      <c r="S109" s="1906"/>
      <c r="T109" s="1906"/>
      <c r="U109" s="1906"/>
      <c r="V109" s="1906"/>
      <c r="W109" s="1906"/>
      <c r="X109" s="1906"/>
      <c r="Y109" s="1906"/>
      <c r="Z109" s="1906"/>
      <c r="AA109" s="1906"/>
      <c r="AB109" s="1906"/>
      <c r="AC109" s="1906"/>
      <c r="AD109" s="1906"/>
      <c r="AE109" s="1906"/>
      <c r="AF109" s="1906"/>
      <c r="AG109" s="1906"/>
      <c r="AH109" s="1906"/>
      <c r="AI109" s="1906"/>
      <c r="AJ109" s="1907"/>
      <c r="AK109" s="574"/>
      <c r="AL109" s="574"/>
      <c r="AM109" s="574"/>
      <c r="AN109" s="569"/>
      <c r="AO109" s="570">
        <f>Application!B721</f>
        <v>0</v>
      </c>
      <c r="AQ109" s="570">
        <f>Application!O721</f>
        <v>0</v>
      </c>
      <c r="AU109" s="570" t="s">
        <v>2031</v>
      </c>
      <c r="AV109" s="629" t="s">
        <v>2032</v>
      </c>
      <c r="AW109" s="570" t="s">
        <v>2033</v>
      </c>
    </row>
    <row r="110" spans="1:49" s="570" customFormat="1" ht="12.75" customHeight="1">
      <c r="A110" s="574"/>
      <c r="B110" s="573"/>
      <c r="C110" s="573"/>
      <c r="D110" s="573"/>
      <c r="E110" s="1908"/>
      <c r="F110" s="1909"/>
      <c r="G110" s="1909"/>
      <c r="H110" s="1909"/>
      <c r="I110" s="1909"/>
      <c r="J110" s="1909"/>
      <c r="K110" s="1909"/>
      <c r="L110" s="1909"/>
      <c r="M110" s="1909"/>
      <c r="N110" s="1909"/>
      <c r="O110" s="1909"/>
      <c r="P110" s="1909"/>
      <c r="Q110" s="1909"/>
      <c r="R110" s="1909"/>
      <c r="S110" s="1909"/>
      <c r="T110" s="1909"/>
      <c r="U110" s="1909"/>
      <c r="V110" s="1909"/>
      <c r="W110" s="1909"/>
      <c r="X110" s="1909"/>
      <c r="Y110" s="1909"/>
      <c r="Z110" s="1909"/>
      <c r="AA110" s="1909"/>
      <c r="AB110" s="1909"/>
      <c r="AC110" s="1909"/>
      <c r="AD110" s="1909"/>
      <c r="AE110" s="1909"/>
      <c r="AF110" s="1909"/>
      <c r="AG110" s="1909"/>
      <c r="AH110" s="1909"/>
      <c r="AI110" s="1909"/>
      <c r="AJ110" s="1910"/>
      <c r="AK110" s="574"/>
      <c r="AL110" s="574"/>
      <c r="AM110" s="574"/>
      <c r="AN110" s="569"/>
      <c r="AO110" s="570">
        <f>Application!B722</f>
        <v>0</v>
      </c>
      <c r="AQ110" s="570">
        <f>Application!O722</f>
        <v>0</v>
      </c>
      <c r="AU110" s="890" t="str">
        <f>E118</f>
        <v>Studio/SRO</v>
      </c>
      <c r="AV110" s="570">
        <f t="array" ref="AV110">SUM(IF(Application!B718:F752="SRO/Studio",Application!G718:J752))</f>
        <v>177</v>
      </c>
      <c r="AW110" s="1046">
        <f>AV110/AV116</f>
        <v>1</v>
      </c>
    </row>
    <row r="111" spans="1:49" s="570" customFormat="1" ht="12.75" customHeight="1">
      <c r="A111" s="574"/>
      <c r="B111" s="573"/>
      <c r="C111" s="573"/>
      <c r="D111" s="573"/>
      <c r="E111" s="1908"/>
      <c r="F111" s="1909"/>
      <c r="G111" s="1909"/>
      <c r="H111" s="1909"/>
      <c r="I111" s="1909"/>
      <c r="J111" s="1909"/>
      <c r="K111" s="1909"/>
      <c r="L111" s="1909"/>
      <c r="M111" s="1909"/>
      <c r="N111" s="1909"/>
      <c r="O111" s="1909"/>
      <c r="P111" s="1909"/>
      <c r="Q111" s="1909"/>
      <c r="R111" s="1909"/>
      <c r="S111" s="1909"/>
      <c r="T111" s="1909"/>
      <c r="U111" s="1909"/>
      <c r="V111" s="1909"/>
      <c r="W111" s="1909"/>
      <c r="X111" s="1909"/>
      <c r="Y111" s="1909"/>
      <c r="Z111" s="1909"/>
      <c r="AA111" s="1909"/>
      <c r="AB111" s="1909"/>
      <c r="AC111" s="1909"/>
      <c r="AD111" s="1909"/>
      <c r="AE111" s="1909"/>
      <c r="AF111" s="1909"/>
      <c r="AG111" s="1909"/>
      <c r="AH111" s="1909"/>
      <c r="AI111" s="1909"/>
      <c r="AJ111" s="1910"/>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8"/>
      <c r="F112" s="1909"/>
      <c r="G112" s="1909"/>
      <c r="H112" s="1909"/>
      <c r="I112" s="1909"/>
      <c r="J112" s="1909"/>
      <c r="K112" s="1909"/>
      <c r="L112" s="1909"/>
      <c r="M112" s="1909"/>
      <c r="N112" s="1909"/>
      <c r="O112" s="1909"/>
      <c r="P112" s="1909"/>
      <c r="Q112" s="1909"/>
      <c r="R112" s="1909"/>
      <c r="S112" s="1909"/>
      <c r="T112" s="1909"/>
      <c r="U112" s="1909"/>
      <c r="V112" s="1909"/>
      <c r="W112" s="1909"/>
      <c r="X112" s="1909"/>
      <c r="Y112" s="1909"/>
      <c r="Z112" s="1909"/>
      <c r="AA112" s="1909"/>
      <c r="AB112" s="1909"/>
      <c r="AC112" s="1909"/>
      <c r="AD112" s="1909"/>
      <c r="AE112" s="1909"/>
      <c r="AF112" s="1909"/>
      <c r="AG112" s="1909"/>
      <c r="AH112" s="1909"/>
      <c r="AI112" s="1909"/>
      <c r="AJ112" s="1910"/>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8"/>
      <c r="F113" s="1909"/>
      <c r="G113" s="1909"/>
      <c r="H113" s="1909"/>
      <c r="I113" s="1909"/>
      <c r="J113" s="1909"/>
      <c r="K113" s="1909"/>
      <c r="L113" s="1909"/>
      <c r="M113" s="1909"/>
      <c r="N113" s="1909"/>
      <c r="O113" s="1909"/>
      <c r="P113" s="1909"/>
      <c r="Q113" s="1909"/>
      <c r="R113" s="1909"/>
      <c r="S113" s="1909"/>
      <c r="T113" s="1909"/>
      <c r="U113" s="1909"/>
      <c r="V113" s="1909"/>
      <c r="W113" s="1909"/>
      <c r="X113" s="1909"/>
      <c r="Y113" s="1909"/>
      <c r="Z113" s="1909"/>
      <c r="AA113" s="1909"/>
      <c r="AB113" s="1909"/>
      <c r="AC113" s="1909"/>
      <c r="AD113" s="1909"/>
      <c r="AE113" s="1909"/>
      <c r="AF113" s="1909"/>
      <c r="AG113" s="1909"/>
      <c r="AH113" s="1909"/>
      <c r="AI113" s="1909"/>
      <c r="AJ113" s="1910"/>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8"/>
      <c r="F114" s="1909"/>
      <c r="G114" s="1909"/>
      <c r="H114" s="1909"/>
      <c r="I114" s="1909"/>
      <c r="J114" s="1909"/>
      <c r="K114" s="1909"/>
      <c r="L114" s="1909"/>
      <c r="M114" s="1909"/>
      <c r="N114" s="1909"/>
      <c r="O114" s="1909"/>
      <c r="P114" s="1909"/>
      <c r="Q114" s="1909"/>
      <c r="R114" s="1909"/>
      <c r="S114" s="1909"/>
      <c r="T114" s="1909"/>
      <c r="U114" s="1909"/>
      <c r="V114" s="1909"/>
      <c r="W114" s="1909"/>
      <c r="X114" s="1909"/>
      <c r="Y114" s="1909"/>
      <c r="Z114" s="1909"/>
      <c r="AA114" s="1909"/>
      <c r="AB114" s="1909"/>
      <c r="AC114" s="1909"/>
      <c r="AD114" s="1909"/>
      <c r="AE114" s="1909"/>
      <c r="AF114" s="1909"/>
      <c r="AG114" s="1909"/>
      <c r="AH114" s="1909"/>
      <c r="AI114" s="1909"/>
      <c r="AJ114" s="1910"/>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8"/>
      <c r="F115" s="1909"/>
      <c r="G115" s="1909"/>
      <c r="H115" s="1909"/>
      <c r="I115" s="1909"/>
      <c r="J115" s="1909"/>
      <c r="K115" s="1909"/>
      <c r="L115" s="1909"/>
      <c r="M115" s="1909"/>
      <c r="N115" s="1909"/>
      <c r="O115" s="1909"/>
      <c r="P115" s="1909"/>
      <c r="Q115" s="1909"/>
      <c r="R115" s="1909"/>
      <c r="S115" s="1909"/>
      <c r="T115" s="1909"/>
      <c r="U115" s="1909"/>
      <c r="V115" s="1909"/>
      <c r="W115" s="1909"/>
      <c r="X115" s="1909"/>
      <c r="Y115" s="1909"/>
      <c r="Z115" s="1909"/>
      <c r="AA115" s="1909"/>
      <c r="AB115" s="1909"/>
      <c r="AC115" s="1909"/>
      <c r="AD115" s="1909"/>
      <c r="AE115" s="1909"/>
      <c r="AF115" s="1909"/>
      <c r="AG115" s="1909"/>
      <c r="AH115" s="1909"/>
      <c r="AI115" s="1909"/>
      <c r="AJ115" s="1910"/>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8"/>
      <c r="F116" s="1909"/>
      <c r="G116" s="1909"/>
      <c r="H116" s="1909"/>
      <c r="I116" s="1909"/>
      <c r="J116" s="1909"/>
      <c r="K116" s="1909"/>
      <c r="L116" s="1909"/>
      <c r="M116" s="1909"/>
      <c r="N116" s="1909"/>
      <c r="O116" s="1909"/>
      <c r="P116" s="1909"/>
      <c r="Q116" s="1909"/>
      <c r="R116" s="1909"/>
      <c r="S116" s="1909"/>
      <c r="T116" s="1909"/>
      <c r="U116" s="1909"/>
      <c r="V116" s="1909"/>
      <c r="W116" s="1909"/>
      <c r="X116" s="1909"/>
      <c r="Y116" s="1909"/>
      <c r="Z116" s="1909"/>
      <c r="AA116" s="1909"/>
      <c r="AB116" s="1909"/>
      <c r="AC116" s="1909"/>
      <c r="AD116" s="1909"/>
      <c r="AE116" s="1909"/>
      <c r="AF116" s="1909"/>
      <c r="AG116" s="1909"/>
      <c r="AH116" s="1909"/>
      <c r="AI116" s="1909"/>
      <c r="AJ116" s="1910"/>
      <c r="AK116" s="574"/>
      <c r="AL116" s="574"/>
      <c r="AM116" s="574"/>
      <c r="AN116" s="569"/>
      <c r="AO116" s="570">
        <f>Application!B728</f>
        <v>0</v>
      </c>
      <c r="AQ116" s="570">
        <f>Application!O728</f>
        <v>0</v>
      </c>
      <c r="AV116" s="570">
        <f>SUM(AV110:AV115)</f>
        <v>177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8" t="s">
        <v>1700</v>
      </c>
      <c r="F118" s="1889"/>
      <c r="G118" s="1889"/>
      <c r="H118" s="1889"/>
      <c r="I118" s="611"/>
      <c r="J118" s="1889" t="s">
        <v>1744</v>
      </c>
      <c r="K118" s="1889"/>
      <c r="L118" s="1889"/>
      <c r="M118" s="1889"/>
      <c r="N118" s="611"/>
      <c r="O118" s="1889" t="s">
        <v>1745</v>
      </c>
      <c r="P118" s="1889"/>
      <c r="Q118" s="1889"/>
      <c r="R118" s="1889"/>
      <c r="S118" s="611"/>
      <c r="T118" s="1889" t="s">
        <v>1445</v>
      </c>
      <c r="U118" s="1889"/>
      <c r="V118" s="1889"/>
      <c r="W118" s="1889"/>
      <c r="X118" s="611"/>
      <c r="Y118" s="1889" t="s">
        <v>1746</v>
      </c>
      <c r="Z118" s="1889"/>
      <c r="AA118" s="1889"/>
      <c r="AB118" s="1889"/>
      <c r="AC118" s="611"/>
      <c r="AD118" s="1889" t="s">
        <v>1747</v>
      </c>
      <c r="AE118" s="1889"/>
      <c r="AF118" s="1889"/>
      <c r="AG118" s="1889"/>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5">
        <v>2393</v>
      </c>
      <c r="F121" s="1946"/>
      <c r="G121" s="1946"/>
      <c r="H121" s="1946"/>
      <c r="I121" s="898"/>
      <c r="J121" s="1946"/>
      <c r="K121" s="1946"/>
      <c r="L121" s="1946"/>
      <c r="M121" s="1946"/>
      <c r="N121" s="898"/>
      <c r="O121" s="1946"/>
      <c r="P121" s="1946"/>
      <c r="Q121" s="1946"/>
      <c r="R121" s="1946"/>
      <c r="S121" s="898"/>
      <c r="T121" s="1946"/>
      <c r="U121" s="1946"/>
      <c r="V121" s="1946"/>
      <c r="W121" s="1946"/>
      <c r="X121" s="898"/>
      <c r="Y121" s="1946"/>
      <c r="Z121" s="1946"/>
      <c r="AA121" s="1946"/>
      <c r="AB121" s="1946"/>
      <c r="AC121" s="898"/>
      <c r="AD121" s="1946"/>
      <c r="AE121" s="1946"/>
      <c r="AF121" s="1946"/>
      <c r="AG121" s="1946"/>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8">
        <f>Application!DX670</f>
        <v>1214.2485875706216</v>
      </c>
      <c r="F124" s="1939"/>
      <c r="G124" s="1939"/>
      <c r="H124" s="1939"/>
      <c r="I124" s="898"/>
      <c r="J124" s="1939">
        <f>Application!EC670</f>
        <v>0</v>
      </c>
      <c r="K124" s="1939"/>
      <c r="L124" s="1939"/>
      <c r="M124" s="1939"/>
      <c r="N124" s="898"/>
      <c r="O124" s="1939">
        <f>Application!EH670</f>
        <v>0</v>
      </c>
      <c r="P124" s="1939"/>
      <c r="Q124" s="1939"/>
      <c r="R124" s="1939"/>
      <c r="S124" s="902"/>
      <c r="T124" s="1939">
        <f>Application!EM670</f>
        <v>0</v>
      </c>
      <c r="U124" s="1939"/>
      <c r="V124" s="1939"/>
      <c r="W124" s="1939"/>
      <c r="X124" s="902"/>
      <c r="Y124" s="1939">
        <f>Application!ER670</f>
        <v>0</v>
      </c>
      <c r="Z124" s="1939"/>
      <c r="AA124" s="1939"/>
      <c r="AB124" s="1939"/>
      <c r="AC124" s="902"/>
      <c r="AD124" s="1939">
        <f>Application!EW670</f>
        <v>0</v>
      </c>
      <c r="AE124" s="1939"/>
      <c r="AF124" s="1939"/>
      <c r="AG124" s="1939"/>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6">
        <f>(E121-E124)/E121</f>
        <v>0.49258312261988235</v>
      </c>
      <c r="F127" s="1891"/>
      <c r="G127" s="1891"/>
      <c r="H127" s="2137"/>
      <c r="I127" s="611"/>
      <c r="J127" s="2136" t="e">
        <f>(J121-J124)/J121</f>
        <v>#DIV/0!</v>
      </c>
      <c r="K127" s="1891"/>
      <c r="L127" s="1891"/>
      <c r="M127" s="2137"/>
      <c r="N127" s="611"/>
      <c r="O127" s="2136" t="e">
        <f>(O121-O124)/O121</f>
        <v>#DIV/0!</v>
      </c>
      <c r="P127" s="1891"/>
      <c r="Q127" s="1891"/>
      <c r="R127" s="2137"/>
      <c r="S127" s="611"/>
      <c r="T127" s="2136" t="e">
        <f>(T121-T124)/T121</f>
        <v>#DIV/0!</v>
      </c>
      <c r="U127" s="1891"/>
      <c r="V127" s="1891"/>
      <c r="W127" s="2137"/>
      <c r="X127" s="611"/>
      <c r="Y127" s="2136" t="e">
        <f>(Y121-Y124)/Y121</f>
        <v>#DIV/0!</v>
      </c>
      <c r="Z127" s="1891"/>
      <c r="AA127" s="1891"/>
      <c r="AB127" s="2137"/>
      <c r="AC127" s="611"/>
      <c r="AD127" s="2136" t="e">
        <f>(AD121-AD124)/AD121</f>
        <v>#DIV/0!</v>
      </c>
      <c r="AE127" s="1891"/>
      <c r="AF127" s="1891"/>
      <c r="AG127" s="213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0">
        <f>IF(((E127-0.1)*AW110)&gt;0,((E127-0.1)*AW110),0)</f>
        <v>0.39258312261988237</v>
      </c>
      <c r="F130" s="1941"/>
      <c r="G130" s="1941"/>
      <c r="H130" s="1942"/>
      <c r="I130" s="611"/>
      <c r="J130" s="1940" t="e">
        <f>IF(((J127-0.1)*AW111)&gt;0,((J127-0.1)*AW111),0)</f>
        <v>#DIV/0!</v>
      </c>
      <c r="K130" s="1941"/>
      <c r="L130" s="1941"/>
      <c r="M130" s="1942"/>
      <c r="N130" s="611"/>
      <c r="O130" s="1940" t="e">
        <f>IF(((O127-0.1)*AW112)&gt;0,((O127-0.1)*AW112),0)</f>
        <v>#DIV/0!</v>
      </c>
      <c r="P130" s="1941"/>
      <c r="Q130" s="1941"/>
      <c r="R130" s="1942"/>
      <c r="S130" s="611"/>
      <c r="T130" s="1940" t="e">
        <f>IF(((T127-0.1)*AW113)&gt;0,((T127-0.1)*AW113),0)</f>
        <v>#DIV/0!</v>
      </c>
      <c r="U130" s="1941"/>
      <c r="V130" s="1941"/>
      <c r="W130" s="1942"/>
      <c r="X130" s="611"/>
      <c r="Y130" s="1940" t="e">
        <f>IF(((Y127-0.1)*AW114)&gt;0,((Y127-0.1)*AW114),0)</f>
        <v>#DIV/0!</v>
      </c>
      <c r="Z130" s="1941"/>
      <c r="AA130" s="1941"/>
      <c r="AB130" s="1942"/>
      <c r="AC130" s="611"/>
      <c r="AD130" s="1940" t="e">
        <f>IF(((AD127-0.1)*AW115)&gt;0,((AD127-0.1)*AW115),0)</f>
        <v>#DIV/0!</v>
      </c>
      <c r="AE130" s="1941"/>
      <c r="AF130" s="1941"/>
      <c r="AG130" s="1942"/>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6">
        <f>ROUNDDOWN(SUMIF(E130:AG130,"&gt;0"),2)</f>
        <v>0.39</v>
      </c>
      <c r="F132" s="1891"/>
      <c r="G132" s="1891"/>
      <c r="H132" s="2137"/>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4">
        <f>IF((E132*100)&gt;10,10,E132*100)</f>
        <v>10</v>
      </c>
      <c r="F133" s="1925"/>
      <c r="G133" s="1925"/>
      <c r="H133" s="1926"/>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1924">
        <f>E133</f>
        <v>10</v>
      </c>
      <c r="AL137" s="1925"/>
      <c r="AM137" s="192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04" t="s">
        <v>1425</v>
      </c>
      <c r="AF140" s="1904"/>
      <c r="AG140" s="1904"/>
      <c r="AH140" s="1904"/>
      <c r="AI140" s="1904"/>
      <c r="AJ140" s="1904"/>
      <c r="AK140" s="1904"/>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6" t="s">
        <v>1449</v>
      </c>
      <c r="AG142" s="1936"/>
      <c r="AH142" s="1936"/>
      <c r="AI142" s="1936"/>
      <c r="AJ142" s="1936"/>
      <c r="AK142" s="1936"/>
      <c r="AL142" s="1936"/>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7" t="s">
        <v>2641</v>
      </c>
      <c r="C144" s="1937"/>
      <c r="D144" s="1937"/>
      <c r="E144" s="1937"/>
      <c r="F144" s="1937"/>
      <c r="G144" s="1937"/>
      <c r="H144" s="1937"/>
      <c r="I144" s="1937"/>
      <c r="J144" s="1937"/>
      <c r="K144" s="1937"/>
      <c r="L144" s="1937"/>
      <c r="M144" s="1937"/>
      <c r="N144" s="1937"/>
      <c r="O144" s="1937"/>
      <c r="P144" s="1937"/>
      <c r="Q144" s="1937"/>
      <c r="R144" s="1937"/>
      <c r="S144" s="1937"/>
      <c r="T144" s="1937"/>
      <c r="U144" s="1937"/>
      <c r="V144" s="1937"/>
      <c r="W144" s="1937"/>
      <c r="X144" s="1937"/>
      <c r="Y144" s="1937"/>
      <c r="Z144" s="1937"/>
      <c r="AA144" s="1937"/>
      <c r="AB144" s="1937"/>
      <c r="AC144" s="1937"/>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1962" t="s">
        <v>1452</v>
      </c>
      <c r="C147" s="1962"/>
      <c r="D147" s="1962"/>
      <c r="E147" s="1962"/>
      <c r="F147" s="1962"/>
      <c r="G147" s="1962"/>
      <c r="H147" s="1962"/>
      <c r="I147" s="1962"/>
      <c r="J147" s="1962"/>
      <c r="K147" s="1962"/>
      <c r="L147" s="1962"/>
      <c r="M147" s="1962"/>
      <c r="N147" s="1962"/>
      <c r="O147" s="1962"/>
      <c r="P147" s="1962"/>
      <c r="Q147" s="1962"/>
      <c r="R147" s="1962"/>
      <c r="S147" s="1962"/>
      <c r="T147" s="1962"/>
      <c r="U147" s="1962"/>
      <c r="V147" s="1962"/>
      <c r="W147" s="1962"/>
      <c r="X147" s="1962"/>
      <c r="Y147" s="1962"/>
      <c r="Z147" s="1962"/>
      <c r="AA147" s="1962"/>
      <c r="AB147" s="1962"/>
      <c r="AC147" s="1962"/>
      <c r="AD147" s="1962"/>
      <c r="AE147" s="1962"/>
      <c r="AF147" s="1962"/>
      <c r="AG147" s="1962"/>
      <c r="AH147" s="1962"/>
      <c r="AI147" s="1962"/>
      <c r="AM147" s="573"/>
      <c r="AN147" s="569"/>
      <c r="AO147" s="510" t="s">
        <v>1452</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1963" t="s">
        <v>600</v>
      </c>
      <c r="AC149" s="196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1962" t="s">
        <v>1454</v>
      </c>
      <c r="C152" s="1962"/>
      <c r="D152" s="1962"/>
      <c r="E152" s="1962"/>
      <c r="F152" s="1962"/>
      <c r="G152" s="1962"/>
      <c r="H152" s="1962"/>
      <c r="I152" s="1962"/>
      <c r="J152" s="1962"/>
      <c r="K152" s="1962"/>
      <c r="L152" s="1962"/>
      <c r="M152" s="1962"/>
      <c r="N152" s="1962"/>
      <c r="O152" s="1962"/>
      <c r="P152" s="1962"/>
      <c r="Q152" s="1962"/>
      <c r="R152" s="1962"/>
      <c r="S152" s="1962"/>
      <c r="T152" s="1962"/>
      <c r="U152" s="1962"/>
      <c r="V152" s="1962"/>
      <c r="W152" s="1962"/>
      <c r="X152" s="1962"/>
      <c r="Y152" s="1962"/>
      <c r="Z152" s="1962"/>
      <c r="AA152" s="1962"/>
      <c r="AB152" s="1962"/>
      <c r="AC152" s="1962"/>
      <c r="AD152" s="1962"/>
      <c r="AE152" s="1962"/>
      <c r="AF152" s="1962"/>
      <c r="AG152" s="1962"/>
      <c r="AH152" s="1962"/>
      <c r="AI152" s="1962"/>
      <c r="AJ152" s="1962"/>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66">
        <f>IF($AB$149="N/A",VLOOKUP($B$147,$AO$145:$AP$148,2,FALSE),VLOOKUP($B$152,$AO$150:$AP$152,2,FALSE))</f>
        <v>7</v>
      </c>
      <c r="AK155" s="1966"/>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6" t="s">
        <v>1463</v>
      </c>
      <c r="AG157" s="1936"/>
      <c r="AH157" s="1936"/>
      <c r="AI157" s="1936"/>
      <c r="AJ157" s="1936"/>
      <c r="AK157" s="1936"/>
      <c r="AL157" s="1936"/>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2" t="s">
        <v>1461</v>
      </c>
      <c r="D159" s="1962"/>
      <c r="E159" s="1962"/>
      <c r="F159" s="1962"/>
      <c r="G159" s="1962"/>
      <c r="H159" s="1962"/>
      <c r="I159" s="1962"/>
      <c r="J159" s="1962"/>
      <c r="K159" s="1962"/>
      <c r="L159" s="1962"/>
      <c r="M159" s="1962"/>
      <c r="N159" s="1962"/>
      <c r="O159" s="1962"/>
      <c r="P159" s="1962"/>
      <c r="Q159" s="1962"/>
      <c r="R159" s="1962"/>
      <c r="S159" s="1962"/>
      <c r="T159" s="1962"/>
      <c r="U159" s="1962"/>
      <c r="V159" s="1962"/>
      <c r="W159" s="1962"/>
      <c r="X159" s="1962"/>
      <c r="Y159" s="1962"/>
      <c r="Z159" s="1962"/>
      <c r="AA159" s="1962"/>
      <c r="AB159" s="1962"/>
      <c r="AC159" s="1962"/>
      <c r="AD159" s="1962"/>
      <c r="AE159" s="1962"/>
      <c r="AF159" s="1962"/>
      <c r="AG159" s="1962"/>
      <c r="AH159" s="1962"/>
      <c r="AI159" s="1962"/>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3" t="s">
        <v>600</v>
      </c>
      <c r="AG161" s="1963"/>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1962" t="s">
        <v>1454</v>
      </c>
      <c r="D163" s="1962"/>
      <c r="E163" s="1962"/>
      <c r="F163" s="1962"/>
      <c r="G163" s="1962"/>
      <c r="H163" s="1962"/>
      <c r="I163" s="1962"/>
      <c r="J163" s="1962"/>
      <c r="K163" s="1962"/>
      <c r="L163" s="1962"/>
      <c r="M163" s="1962"/>
      <c r="N163" s="1962"/>
      <c r="O163" s="1962"/>
      <c r="P163" s="1962"/>
      <c r="Q163" s="1962"/>
      <c r="R163" s="1962"/>
      <c r="S163" s="1962"/>
      <c r="T163" s="1962"/>
      <c r="U163" s="1962"/>
      <c r="V163" s="1962"/>
      <c r="W163" s="1962"/>
      <c r="X163" s="1962"/>
      <c r="Y163" s="1962"/>
      <c r="Z163" s="1962"/>
      <c r="AA163" s="1962"/>
      <c r="AB163" s="1962"/>
      <c r="AC163" s="1962"/>
      <c r="AD163" s="1962"/>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1964" t="str">
        <f>Application!AA335</f>
        <v>Barker Management</v>
      </c>
      <c r="D167" s="1964"/>
      <c r="E167" s="1964"/>
      <c r="F167" s="1964"/>
      <c r="G167" s="1964"/>
      <c r="H167" s="1964"/>
      <c r="I167" s="1964"/>
      <c r="J167" s="1964"/>
      <c r="K167" s="1964"/>
      <c r="L167" s="1964"/>
      <c r="M167" s="1964"/>
      <c r="N167" s="1964"/>
      <c r="O167" s="1964"/>
      <c r="P167" s="1964"/>
      <c r="Q167" s="1964"/>
      <c r="R167" s="1964"/>
      <c r="S167" s="1964"/>
      <c r="T167" s="1964"/>
      <c r="U167" s="1964"/>
      <c r="V167" s="1964"/>
      <c r="W167" s="1964"/>
      <c r="X167" s="1964"/>
      <c r="Y167" s="1964"/>
      <c r="Z167" s="1964"/>
      <c r="AA167" s="1964"/>
      <c r="AB167" s="1964"/>
      <c r="AC167" s="1964"/>
      <c r="AD167" s="1964"/>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5">
        <f>IF($AF$161="N/A",VLOOKUP($C$159,$AO$159:$AP$162,2,FALSE),VLOOKUP($C$163,$AO$166:$AP$168,2,FALSE))</f>
        <v>3</v>
      </c>
      <c r="AK169" s="1965"/>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1924">
        <f>$AJ$155+$AJ$169</f>
        <v>10</v>
      </c>
      <c r="AL172" s="1925"/>
      <c r="AM172" s="192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4" t="s">
        <v>1425</v>
      </c>
      <c r="AF175" s="1904"/>
      <c r="AG175" s="1904"/>
      <c r="AH175" s="1904"/>
      <c r="AI175" s="1904"/>
      <c r="AJ175" s="1904"/>
      <c r="AK175" s="1904"/>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1960" t="s">
        <v>1478</v>
      </c>
      <c r="C177" s="1960"/>
      <c r="D177" s="1960"/>
      <c r="E177" s="1960"/>
      <c r="F177" s="1960"/>
      <c r="G177" s="1960"/>
      <c r="H177" s="1960"/>
      <c r="I177" s="1960"/>
      <c r="J177" s="1960"/>
      <c r="K177" s="1960"/>
      <c r="L177" s="1960"/>
      <c r="M177" s="1960"/>
      <c r="N177" s="1960"/>
      <c r="O177" s="1960"/>
      <c r="P177" s="1960"/>
      <c r="Q177" s="1960"/>
      <c r="R177" s="1960"/>
      <c r="S177" s="1960"/>
      <c r="T177" s="1960"/>
      <c r="U177" s="1960"/>
      <c r="V177" s="1960"/>
      <c r="W177" s="1960"/>
      <c r="X177" s="1960"/>
      <c r="Y177" s="1960"/>
      <c r="Z177" s="1960"/>
      <c r="AA177" s="1960"/>
      <c r="AB177" s="1960"/>
      <c r="AC177" s="1960"/>
      <c r="AD177" s="570"/>
      <c r="AE177" s="570"/>
      <c r="AF177" s="1936" t="s">
        <v>1474</v>
      </c>
      <c r="AG177" s="1936"/>
      <c r="AH177" s="1936"/>
      <c r="AI177" s="1936"/>
      <c r="AJ177" s="1936"/>
      <c r="AK177" s="1936"/>
      <c r="AL177" s="1936"/>
      <c r="AN177" s="631"/>
      <c r="AP177" s="584" t="s">
        <v>1068</v>
      </c>
      <c r="AQ177" s="584">
        <v>10</v>
      </c>
    </row>
    <row r="178" spans="1:45" s="584" customFormat="1" ht="12.75" customHeight="1">
      <c r="A178" s="570"/>
      <c r="B178" s="1961" t="s">
        <v>1916</v>
      </c>
      <c r="C178" s="1961"/>
      <c r="D178" s="1961"/>
      <c r="E178" s="1961"/>
      <c r="F178" s="1961"/>
      <c r="G178" s="1961"/>
      <c r="H178" s="1961"/>
      <c r="I178" s="1961"/>
      <c r="J178" s="1961"/>
      <c r="K178" s="1961"/>
      <c r="L178" s="1961"/>
      <c r="M178" s="1961"/>
      <c r="N178" s="1961"/>
      <c r="O178" s="1961"/>
      <c r="P178" s="1961"/>
      <c r="Q178" s="1961"/>
      <c r="R178" s="1961"/>
      <c r="S178" s="1961"/>
      <c r="T178" s="1937" t="s">
        <v>600</v>
      </c>
      <c r="U178" s="1937"/>
      <c r="V178" s="1937"/>
      <c r="W178" s="1937"/>
      <c r="X178" s="1937"/>
      <c r="Y178" s="1937"/>
      <c r="Z178" s="1937"/>
      <c r="AA178" s="1937"/>
      <c r="AB178" s="1937"/>
      <c r="AC178" s="1937"/>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70">
        <f>IF(AK78&gt;0,VLOOKUP($B$177,AP174:AQ180,2,FALSE),0)</f>
        <v>10</v>
      </c>
      <c r="AL180" s="1971"/>
      <c r="AM180" s="1972"/>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4" t="s">
        <v>1483</v>
      </c>
      <c r="AF183" s="1904"/>
      <c r="AG183" s="1904"/>
      <c r="AH183" s="1904"/>
      <c r="AI183" s="1904"/>
      <c r="AJ183" s="1904"/>
      <c r="AK183" s="1904"/>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8" t="s">
        <v>2742</v>
      </c>
      <c r="C188" s="1948"/>
      <c r="D188" s="1948"/>
      <c r="E188" s="1948"/>
      <c r="F188" s="1948"/>
      <c r="G188" s="1948"/>
      <c r="H188" s="1948"/>
      <c r="I188" s="1948"/>
      <c r="J188" s="1948"/>
      <c r="K188" s="1948"/>
      <c r="L188" s="1948"/>
      <c r="M188" s="1948"/>
      <c r="N188" s="1948"/>
      <c r="O188" s="1948"/>
      <c r="P188" s="1948"/>
      <c r="Q188" s="1948"/>
      <c r="R188" s="1948"/>
      <c r="S188" s="1948"/>
      <c r="T188" s="1948"/>
      <c r="U188" s="1948"/>
      <c r="V188" s="1948"/>
      <c r="W188" s="1948"/>
      <c r="X188" s="1948"/>
      <c r="Y188" s="1948"/>
      <c r="Z188" s="1948"/>
      <c r="AA188" s="1948"/>
      <c r="AB188" s="1948"/>
      <c r="AC188" s="880"/>
      <c r="AD188" s="1949">
        <v>35000000</v>
      </c>
      <c r="AE188" s="1949"/>
      <c r="AF188" s="1949"/>
      <c r="AG188" s="1949"/>
      <c r="AH188" s="1949"/>
      <c r="AI188" s="1949"/>
      <c r="AJ188" s="1949"/>
      <c r="AK188" s="644"/>
    </row>
    <row r="189" spans="1:45">
      <c r="A189" s="639"/>
      <c r="B189" s="1948"/>
      <c r="C189" s="1948"/>
      <c r="D189" s="1948"/>
      <c r="E189" s="1948"/>
      <c r="F189" s="1948"/>
      <c r="G189" s="1948"/>
      <c r="H189" s="1948"/>
      <c r="I189" s="1948"/>
      <c r="J189" s="1948"/>
      <c r="K189" s="1948"/>
      <c r="L189" s="1948"/>
      <c r="M189" s="1948"/>
      <c r="N189" s="1948"/>
      <c r="O189" s="1948"/>
      <c r="P189" s="1948"/>
      <c r="Q189" s="1948"/>
      <c r="R189" s="1948"/>
      <c r="S189" s="1948"/>
      <c r="T189" s="1948"/>
      <c r="U189" s="1948"/>
      <c r="V189" s="1948"/>
      <c r="W189" s="1948"/>
      <c r="X189" s="1948"/>
      <c r="Y189" s="1948"/>
      <c r="Z189" s="1948"/>
      <c r="AA189" s="1948"/>
      <c r="AB189" s="1948"/>
      <c r="AC189" s="880"/>
      <c r="AD189" s="1949"/>
      <c r="AE189" s="1949"/>
      <c r="AF189" s="1949"/>
      <c r="AG189" s="1949"/>
      <c r="AH189" s="1949"/>
      <c r="AI189" s="1949"/>
      <c r="AJ189" s="1949"/>
      <c r="AK189" s="644"/>
    </row>
    <row r="190" spans="1:45">
      <c r="A190" s="639"/>
      <c r="B190" s="1948"/>
      <c r="C190" s="1948"/>
      <c r="D190" s="1948"/>
      <c r="E190" s="1948"/>
      <c r="F190" s="1948"/>
      <c r="G190" s="1948"/>
      <c r="H190" s="1948"/>
      <c r="I190" s="1948"/>
      <c r="J190" s="1948"/>
      <c r="K190" s="1948"/>
      <c r="L190" s="1948"/>
      <c r="M190" s="1948"/>
      <c r="N190" s="1948"/>
      <c r="O190" s="1948"/>
      <c r="P190" s="1948"/>
      <c r="Q190" s="1948"/>
      <c r="R190" s="1948"/>
      <c r="S190" s="1948"/>
      <c r="T190" s="1948"/>
      <c r="U190" s="1948"/>
      <c r="V190" s="1948"/>
      <c r="W190" s="1948"/>
      <c r="X190" s="1948"/>
      <c r="Y190" s="1948"/>
      <c r="Z190" s="1948"/>
      <c r="AA190" s="1948"/>
      <c r="AB190" s="1948"/>
      <c r="AC190" s="880"/>
      <c r="AD190" s="1949"/>
      <c r="AE190" s="1949"/>
      <c r="AF190" s="1949"/>
      <c r="AG190" s="1949"/>
      <c r="AH190" s="1949"/>
      <c r="AI190" s="1949"/>
      <c r="AJ190" s="1949"/>
      <c r="AK190" s="644"/>
    </row>
    <row r="191" spans="1:45">
      <c r="A191" s="639"/>
      <c r="B191" s="1948"/>
      <c r="C191" s="1948"/>
      <c r="D191" s="1948"/>
      <c r="E191" s="1948"/>
      <c r="F191" s="1948"/>
      <c r="G191" s="1948"/>
      <c r="H191" s="1948"/>
      <c r="I191" s="1948"/>
      <c r="J191" s="1948"/>
      <c r="K191" s="1948"/>
      <c r="L191" s="1948"/>
      <c r="M191" s="1948"/>
      <c r="N191" s="1948"/>
      <c r="O191" s="1948"/>
      <c r="P191" s="1948"/>
      <c r="Q191" s="1948"/>
      <c r="R191" s="1948"/>
      <c r="S191" s="1948"/>
      <c r="T191" s="1948"/>
      <c r="U191" s="1948"/>
      <c r="V191" s="1948"/>
      <c r="W191" s="1948"/>
      <c r="X191" s="1948"/>
      <c r="Y191" s="1948"/>
      <c r="Z191" s="1948"/>
      <c r="AA191" s="1948"/>
      <c r="AB191" s="1948"/>
      <c r="AC191" s="880"/>
      <c r="AD191" s="1949"/>
      <c r="AE191" s="1949"/>
      <c r="AF191" s="1949"/>
      <c r="AG191" s="1949"/>
      <c r="AH191" s="1949"/>
      <c r="AI191" s="1949"/>
      <c r="AJ191" s="1949"/>
      <c r="AK191" s="644"/>
    </row>
    <row r="192" spans="1:45">
      <c r="A192" s="639"/>
      <c r="B192" s="1948"/>
      <c r="C192" s="1948"/>
      <c r="D192" s="1948"/>
      <c r="E192" s="1948"/>
      <c r="F192" s="1948"/>
      <c r="G192" s="1948"/>
      <c r="H192" s="1948"/>
      <c r="I192" s="1948"/>
      <c r="J192" s="1948"/>
      <c r="K192" s="1948"/>
      <c r="L192" s="1948"/>
      <c r="M192" s="1948"/>
      <c r="N192" s="1948"/>
      <c r="O192" s="1948"/>
      <c r="P192" s="1948"/>
      <c r="Q192" s="1948"/>
      <c r="R192" s="1948"/>
      <c r="S192" s="1948"/>
      <c r="T192" s="1948"/>
      <c r="U192" s="1948"/>
      <c r="V192" s="1948"/>
      <c r="W192" s="1948"/>
      <c r="X192" s="1948"/>
      <c r="Y192" s="1948"/>
      <c r="Z192" s="1948"/>
      <c r="AA192" s="1948"/>
      <c r="AB192" s="1948"/>
      <c r="AC192" s="880"/>
      <c r="AD192" s="1949"/>
      <c r="AE192" s="1949"/>
      <c r="AF192" s="1949"/>
      <c r="AG192" s="1949"/>
      <c r="AH192" s="1949"/>
      <c r="AI192" s="1949"/>
      <c r="AJ192" s="1949"/>
      <c r="AK192" s="644"/>
    </row>
    <row r="193" spans="1:37">
      <c r="A193" s="639"/>
      <c r="B193" s="1948"/>
      <c r="C193" s="1948"/>
      <c r="D193" s="1948"/>
      <c r="E193" s="1948"/>
      <c r="F193" s="1948"/>
      <c r="G193" s="1948"/>
      <c r="H193" s="1948"/>
      <c r="I193" s="1948"/>
      <c r="J193" s="1948"/>
      <c r="K193" s="1948"/>
      <c r="L193" s="1948"/>
      <c r="M193" s="1948"/>
      <c r="N193" s="1948"/>
      <c r="O193" s="1948"/>
      <c r="P193" s="1948"/>
      <c r="Q193" s="1948"/>
      <c r="R193" s="1948"/>
      <c r="S193" s="1948"/>
      <c r="T193" s="1948"/>
      <c r="U193" s="1948"/>
      <c r="V193" s="1948"/>
      <c r="W193" s="1948"/>
      <c r="X193" s="1948"/>
      <c r="Y193" s="1948"/>
      <c r="Z193" s="1948"/>
      <c r="AA193" s="1948"/>
      <c r="AB193" s="1948"/>
      <c r="AC193" s="880"/>
      <c r="AD193" s="1949"/>
      <c r="AE193" s="1949"/>
      <c r="AF193" s="1949"/>
      <c r="AG193" s="1949"/>
      <c r="AH193" s="1949"/>
      <c r="AI193" s="1949"/>
      <c r="AJ193" s="1949"/>
      <c r="AK193" s="644"/>
    </row>
    <row r="194" spans="1:37">
      <c r="A194" s="639"/>
      <c r="B194" s="1948"/>
      <c r="C194" s="1948"/>
      <c r="D194" s="1948"/>
      <c r="E194" s="1948"/>
      <c r="F194" s="1948"/>
      <c r="G194" s="1948"/>
      <c r="H194" s="1948"/>
      <c r="I194" s="1948"/>
      <c r="J194" s="1948"/>
      <c r="K194" s="1948"/>
      <c r="L194" s="1948"/>
      <c r="M194" s="1948"/>
      <c r="N194" s="1948"/>
      <c r="O194" s="1948"/>
      <c r="P194" s="1948"/>
      <c r="Q194" s="1948"/>
      <c r="R194" s="1948"/>
      <c r="S194" s="1948"/>
      <c r="T194" s="1948"/>
      <c r="U194" s="1948"/>
      <c r="V194" s="1948"/>
      <c r="W194" s="1948"/>
      <c r="X194" s="1948"/>
      <c r="Y194" s="1948"/>
      <c r="Z194" s="1948"/>
      <c r="AA194" s="1948"/>
      <c r="AB194" s="1948"/>
      <c r="AC194" s="880"/>
      <c r="AD194" s="1949"/>
      <c r="AE194" s="1949"/>
      <c r="AF194" s="1949"/>
      <c r="AG194" s="1949"/>
      <c r="AH194" s="1949"/>
      <c r="AI194" s="1949"/>
      <c r="AJ194" s="1949"/>
      <c r="AK194" s="644"/>
    </row>
    <row r="195" spans="1:37">
      <c r="A195" s="639"/>
      <c r="B195" s="1948"/>
      <c r="C195" s="1948"/>
      <c r="D195" s="1948"/>
      <c r="E195" s="1948"/>
      <c r="F195" s="1948"/>
      <c r="G195" s="1948"/>
      <c r="H195" s="1948"/>
      <c r="I195" s="1948"/>
      <c r="J195" s="1948"/>
      <c r="K195" s="1948"/>
      <c r="L195" s="1948"/>
      <c r="M195" s="1948"/>
      <c r="N195" s="1948"/>
      <c r="O195" s="1948"/>
      <c r="P195" s="1948"/>
      <c r="Q195" s="1948"/>
      <c r="R195" s="1948"/>
      <c r="S195" s="1948"/>
      <c r="T195" s="1948"/>
      <c r="U195" s="1948"/>
      <c r="V195" s="1948"/>
      <c r="W195" s="1948"/>
      <c r="X195" s="1948"/>
      <c r="Y195" s="1948"/>
      <c r="Z195" s="1948"/>
      <c r="AA195" s="1948"/>
      <c r="AB195" s="1948"/>
      <c r="AC195" s="880"/>
      <c r="AD195" s="1949"/>
      <c r="AE195" s="1949"/>
      <c r="AF195" s="1949"/>
      <c r="AG195" s="1949"/>
      <c r="AH195" s="1949"/>
      <c r="AI195" s="1949"/>
      <c r="AJ195" s="1949"/>
      <c r="AK195" s="644"/>
    </row>
    <row r="196" spans="1:37">
      <c r="A196" s="639"/>
      <c r="B196" s="1948"/>
      <c r="C196" s="1948"/>
      <c r="D196" s="1948"/>
      <c r="E196" s="1948"/>
      <c r="F196" s="1948"/>
      <c r="G196" s="1948"/>
      <c r="H196" s="1948"/>
      <c r="I196" s="1948"/>
      <c r="J196" s="1948"/>
      <c r="K196" s="1948"/>
      <c r="L196" s="1948"/>
      <c r="M196" s="1948"/>
      <c r="N196" s="1948"/>
      <c r="O196" s="1948"/>
      <c r="P196" s="1948"/>
      <c r="Q196" s="1948"/>
      <c r="R196" s="1948"/>
      <c r="S196" s="1948"/>
      <c r="T196" s="1948"/>
      <c r="U196" s="1948"/>
      <c r="V196" s="1948"/>
      <c r="W196" s="1948"/>
      <c r="X196" s="1948"/>
      <c r="Y196" s="1948"/>
      <c r="Z196" s="1948"/>
      <c r="AA196" s="1948"/>
      <c r="AB196" s="1948"/>
      <c r="AC196" s="880"/>
      <c r="AD196" s="1949"/>
      <c r="AE196" s="1949"/>
      <c r="AF196" s="1949"/>
      <c r="AG196" s="1949"/>
      <c r="AH196" s="1949"/>
      <c r="AI196" s="1949"/>
      <c r="AJ196" s="1949"/>
      <c r="AK196" s="644"/>
    </row>
    <row r="197" spans="1:37">
      <c r="A197" s="639"/>
      <c r="B197" s="1948"/>
      <c r="C197" s="1948"/>
      <c r="D197" s="1948"/>
      <c r="E197" s="1948"/>
      <c r="F197" s="1948"/>
      <c r="G197" s="1948"/>
      <c r="H197" s="1948"/>
      <c r="I197" s="1948"/>
      <c r="J197" s="1948"/>
      <c r="K197" s="1948"/>
      <c r="L197" s="1948"/>
      <c r="M197" s="1948"/>
      <c r="N197" s="1948"/>
      <c r="O197" s="1948"/>
      <c r="P197" s="1948"/>
      <c r="Q197" s="1948"/>
      <c r="R197" s="1948"/>
      <c r="S197" s="1948"/>
      <c r="T197" s="1948"/>
      <c r="U197" s="1948"/>
      <c r="V197" s="1948"/>
      <c r="W197" s="1948"/>
      <c r="X197" s="1948"/>
      <c r="Y197" s="1948"/>
      <c r="Z197" s="1948"/>
      <c r="AA197" s="1948"/>
      <c r="AB197" s="1948"/>
      <c r="AC197" s="880"/>
      <c r="AD197" s="1949"/>
      <c r="AE197" s="1949"/>
      <c r="AF197" s="1949"/>
      <c r="AG197" s="1949"/>
      <c r="AH197" s="1949"/>
      <c r="AI197" s="1949"/>
      <c r="AJ197" s="1949"/>
      <c r="AK197" s="644"/>
    </row>
    <row r="198" spans="1:37">
      <c r="A198" s="639"/>
      <c r="B198" s="2113" t="s">
        <v>1739</v>
      </c>
      <c r="C198" s="2113"/>
      <c r="D198" s="2113"/>
      <c r="E198" s="2113"/>
      <c r="F198" s="2113"/>
      <c r="G198" s="2113"/>
      <c r="H198" s="2113"/>
      <c r="I198" s="2113"/>
      <c r="J198" s="2113"/>
      <c r="K198" s="2113"/>
      <c r="L198" s="2113"/>
      <c r="M198" s="2113"/>
      <c r="N198" s="2113"/>
      <c r="O198" s="2113"/>
      <c r="P198" s="2113"/>
      <c r="Q198" s="2113"/>
      <c r="R198" s="2113"/>
      <c r="S198" s="2113"/>
      <c r="T198" s="2113"/>
      <c r="U198" s="2113"/>
      <c r="V198" s="2113"/>
      <c r="W198" s="2113"/>
      <c r="X198" s="2113"/>
      <c r="Y198" s="2113"/>
      <c r="Z198" s="2113"/>
      <c r="AA198" s="2113"/>
      <c r="AB198" s="2113"/>
      <c r="AC198" s="570"/>
      <c r="AD198" s="1977">
        <f>AB249</f>
        <v>0</v>
      </c>
      <c r="AE198" s="1977"/>
      <c r="AF198" s="1977"/>
      <c r="AG198" s="1977"/>
      <c r="AH198" s="1977"/>
      <c r="AI198" s="1977"/>
      <c r="AJ198" s="1977"/>
      <c r="AK198" s="644"/>
    </row>
    <row r="199" spans="1:37">
      <c r="A199" s="639"/>
      <c r="B199" s="2111" t="s">
        <v>1702</v>
      </c>
      <c r="C199" s="2111"/>
      <c r="D199" s="2111"/>
      <c r="E199" s="2111"/>
      <c r="F199" s="2111"/>
      <c r="G199" s="2111"/>
      <c r="H199" s="2111"/>
      <c r="I199" s="2111"/>
      <c r="J199" s="2111"/>
      <c r="K199" s="2111"/>
      <c r="L199" s="2111"/>
      <c r="M199" s="2111"/>
      <c r="N199" s="2111"/>
      <c r="O199" s="2111"/>
      <c r="P199" s="2111"/>
      <c r="Q199" s="2111"/>
      <c r="R199" s="2111"/>
      <c r="S199" s="2111"/>
      <c r="T199" s="2111"/>
      <c r="U199" s="2111"/>
      <c r="V199" s="2111"/>
      <c r="W199" s="2111"/>
      <c r="X199" s="2111"/>
      <c r="Y199" s="2111"/>
      <c r="Z199" s="2111"/>
      <c r="AA199" s="2111"/>
      <c r="AB199" s="2111"/>
      <c r="AC199" s="880"/>
      <c r="AD199" s="1978">
        <f>'Sources and Uses Budget'!B15</f>
        <v>0</v>
      </c>
      <c r="AE199" s="1978"/>
      <c r="AF199" s="1978"/>
      <c r="AG199" s="1978"/>
      <c r="AH199" s="1978"/>
      <c r="AI199" s="1978"/>
      <c r="AJ199" s="1978"/>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82">
        <f>SUM(AD188:AJ198)-AD199</f>
        <v>35000000</v>
      </c>
      <c r="AE200" s="1982"/>
      <c r="AF200" s="1982"/>
      <c r="AG200" s="1982"/>
      <c r="AH200" s="1982"/>
      <c r="AI200" s="1982"/>
      <c r="AJ200" s="198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2" t="s">
        <v>1719</v>
      </c>
      <c r="J211" s="1952"/>
      <c r="K211" s="1952"/>
      <c r="L211" s="570"/>
      <c r="M211" s="570"/>
      <c r="N211" s="570"/>
      <c r="O211" s="570"/>
      <c r="P211" s="570"/>
      <c r="Q211" s="570"/>
      <c r="R211" s="570"/>
      <c r="S211" s="570"/>
      <c r="T211" s="2139" t="s">
        <v>1713</v>
      </c>
      <c r="U211" s="2139"/>
      <c r="V211" s="2139"/>
      <c r="W211" s="2139"/>
      <c r="X211" s="2139"/>
      <c r="Y211" s="2139"/>
      <c r="Z211" s="883"/>
      <c r="AA211" s="523"/>
      <c r="AB211" s="1947" t="s">
        <v>1714</v>
      </c>
      <c r="AC211" s="1947"/>
      <c r="AD211" s="1947"/>
      <c r="AE211" s="1947"/>
      <c r="AF211" s="1947"/>
      <c r="AG211" s="1947"/>
      <c r="AH211" s="861"/>
      <c r="AI211" s="861"/>
      <c r="AJ211" s="861"/>
      <c r="AK211" s="644"/>
    </row>
    <row r="212" spans="1:37">
      <c r="A212" s="639"/>
      <c r="B212" s="1950" t="s">
        <v>1699</v>
      </c>
      <c r="C212" s="1950"/>
      <c r="D212" s="1950"/>
      <c r="E212" s="1950"/>
      <c r="F212" s="1950"/>
      <c r="G212" s="1950"/>
      <c r="I212" s="1951" t="s">
        <v>1720</v>
      </c>
      <c r="J212" s="1951"/>
      <c r="K212" s="1951"/>
      <c r="L212" s="1043"/>
      <c r="N212" s="1957" t="s">
        <v>1715</v>
      </c>
      <c r="O212" s="1957"/>
      <c r="P212" s="1957"/>
      <c r="Q212" s="1957"/>
      <c r="R212" s="1957"/>
      <c r="T212" s="1957" t="s">
        <v>1716</v>
      </c>
      <c r="U212" s="1957"/>
      <c r="V212" s="1957"/>
      <c r="W212" s="1957"/>
      <c r="X212" s="1957"/>
      <c r="Y212" s="1957"/>
      <c r="Z212" s="884"/>
      <c r="AA212" s="523"/>
      <c r="AB212" s="2114" t="s">
        <v>1717</v>
      </c>
      <c r="AC212" s="2114"/>
      <c r="AD212" s="2114"/>
      <c r="AE212" s="2114"/>
      <c r="AF212" s="2114"/>
      <c r="AG212" s="2114"/>
      <c r="AH212" s="861"/>
      <c r="AI212" s="861"/>
      <c r="AJ212" s="861"/>
      <c r="AK212" s="644"/>
    </row>
    <row r="213" spans="1:37">
      <c r="A213" s="639"/>
      <c r="B213" s="1954" t="s">
        <v>1291</v>
      </c>
      <c r="C213" s="1954"/>
      <c r="D213" s="1954"/>
      <c r="E213" s="1954"/>
      <c r="F213" s="1954"/>
      <c r="G213" s="1954"/>
      <c r="H213" s="886"/>
      <c r="I213" s="1953"/>
      <c r="J213" s="1953"/>
      <c r="K213" s="1953"/>
      <c r="L213" s="1043"/>
      <c r="N213" s="1958"/>
      <c r="O213" s="1958"/>
      <c r="P213" s="1958"/>
      <c r="Q213" s="1958"/>
      <c r="R213" s="1958"/>
      <c r="T213" s="2112"/>
      <c r="U213" s="2112"/>
      <c r="V213" s="2112"/>
      <c r="W213" s="2112"/>
      <c r="X213" s="2112"/>
      <c r="Y213" s="2112"/>
      <c r="Z213" s="885"/>
      <c r="AA213" s="885"/>
      <c r="AB213" s="1955">
        <f t="shared" ref="AB213:AB222" si="0">MAX(($T213-$N213)*$I213*12,0)</f>
        <v>0</v>
      </c>
      <c r="AC213" s="1955"/>
      <c r="AD213" s="1955"/>
      <c r="AE213" s="1955"/>
      <c r="AF213" s="1955"/>
      <c r="AG213" s="1955"/>
      <c r="AH213" s="861"/>
      <c r="AI213" s="861"/>
      <c r="AJ213" s="861"/>
      <c r="AK213" s="644"/>
    </row>
    <row r="214" spans="1:37">
      <c r="A214" s="639"/>
      <c r="B214" s="1954" t="s">
        <v>1291</v>
      </c>
      <c r="C214" s="1954"/>
      <c r="D214" s="1954"/>
      <c r="E214" s="1954"/>
      <c r="F214" s="1954"/>
      <c r="G214" s="1954"/>
      <c r="I214" s="1953"/>
      <c r="J214" s="1953"/>
      <c r="K214" s="1953"/>
      <c r="L214" s="1043"/>
      <c r="N214" s="1958"/>
      <c r="O214" s="1958"/>
      <c r="P214" s="1958"/>
      <c r="Q214" s="1958"/>
      <c r="R214" s="1958"/>
      <c r="T214" s="2112"/>
      <c r="U214" s="2112"/>
      <c r="V214" s="2112"/>
      <c r="W214" s="2112"/>
      <c r="X214" s="2112"/>
      <c r="Y214" s="2112"/>
      <c r="Z214" s="885"/>
      <c r="AA214" s="885"/>
      <c r="AB214" s="1955">
        <f t="shared" si="0"/>
        <v>0</v>
      </c>
      <c r="AC214" s="1955"/>
      <c r="AD214" s="1955"/>
      <c r="AE214" s="1955"/>
      <c r="AF214" s="1955"/>
      <c r="AG214" s="1955"/>
      <c r="AH214" s="861"/>
      <c r="AI214" s="861"/>
      <c r="AJ214" s="861"/>
      <c r="AK214" s="644"/>
    </row>
    <row r="215" spans="1:37">
      <c r="A215" s="639"/>
      <c r="B215" s="1954" t="s">
        <v>1291</v>
      </c>
      <c r="C215" s="1954"/>
      <c r="D215" s="1954"/>
      <c r="E215" s="1954"/>
      <c r="F215" s="1954"/>
      <c r="G215" s="1954"/>
      <c r="I215" s="1953"/>
      <c r="J215" s="1953"/>
      <c r="K215" s="1953"/>
      <c r="L215" s="1043"/>
      <c r="N215" s="1958"/>
      <c r="O215" s="1958"/>
      <c r="P215" s="1958"/>
      <c r="Q215" s="1958"/>
      <c r="R215" s="1958"/>
      <c r="T215" s="2112"/>
      <c r="U215" s="2112"/>
      <c r="V215" s="2112"/>
      <c r="W215" s="2112"/>
      <c r="X215" s="2112"/>
      <c r="Y215" s="2112"/>
      <c r="Z215" s="885"/>
      <c r="AA215" s="885"/>
      <c r="AB215" s="1955">
        <f t="shared" si="0"/>
        <v>0</v>
      </c>
      <c r="AC215" s="1955"/>
      <c r="AD215" s="1955"/>
      <c r="AE215" s="1955"/>
      <c r="AF215" s="1955"/>
      <c r="AG215" s="1955"/>
      <c r="AH215" s="861"/>
      <c r="AI215" s="861"/>
      <c r="AJ215" s="861"/>
      <c r="AK215" s="644"/>
    </row>
    <row r="216" spans="1:37">
      <c r="A216" s="639"/>
      <c r="B216" s="1954" t="s">
        <v>1291</v>
      </c>
      <c r="C216" s="1954"/>
      <c r="D216" s="1954"/>
      <c r="E216" s="1954"/>
      <c r="F216" s="1954"/>
      <c r="G216" s="1954"/>
      <c r="I216" s="1953"/>
      <c r="J216" s="1953"/>
      <c r="K216" s="1953"/>
      <c r="L216" s="1043"/>
      <c r="N216" s="1958"/>
      <c r="O216" s="1958"/>
      <c r="P216" s="1958"/>
      <c r="Q216" s="1958"/>
      <c r="R216" s="1958"/>
      <c r="T216" s="2112"/>
      <c r="U216" s="2112"/>
      <c r="V216" s="2112"/>
      <c r="W216" s="2112"/>
      <c r="X216" s="2112"/>
      <c r="Y216" s="2112"/>
      <c r="Z216" s="885"/>
      <c r="AA216" s="885"/>
      <c r="AB216" s="1955">
        <f t="shared" si="0"/>
        <v>0</v>
      </c>
      <c r="AC216" s="1955"/>
      <c r="AD216" s="1955"/>
      <c r="AE216" s="1955"/>
      <c r="AF216" s="1955"/>
      <c r="AG216" s="1955"/>
      <c r="AH216" s="861"/>
      <c r="AI216" s="861"/>
      <c r="AJ216" s="861"/>
      <c r="AK216" s="644"/>
    </row>
    <row r="217" spans="1:37">
      <c r="A217" s="639"/>
      <c r="B217" s="1954" t="s">
        <v>1291</v>
      </c>
      <c r="C217" s="1954"/>
      <c r="D217" s="1954"/>
      <c r="E217" s="1954"/>
      <c r="F217" s="1954"/>
      <c r="G217" s="1954"/>
      <c r="I217" s="1953"/>
      <c r="J217" s="1953"/>
      <c r="K217" s="1953"/>
      <c r="L217" s="1050"/>
      <c r="N217" s="1958"/>
      <c r="O217" s="1958"/>
      <c r="P217" s="1958"/>
      <c r="Q217" s="1958"/>
      <c r="R217" s="1958"/>
      <c r="T217" s="2112"/>
      <c r="U217" s="2112"/>
      <c r="V217" s="2112"/>
      <c r="W217" s="2112"/>
      <c r="X217" s="2112"/>
      <c r="Y217" s="2112"/>
      <c r="Z217" s="885"/>
      <c r="AA217" s="885"/>
      <c r="AB217" s="1955">
        <f t="shared" si="0"/>
        <v>0</v>
      </c>
      <c r="AC217" s="1955"/>
      <c r="AD217" s="1955"/>
      <c r="AE217" s="1955"/>
      <c r="AF217" s="1955"/>
      <c r="AG217" s="1955"/>
      <c r="AH217" s="861"/>
      <c r="AI217" s="861"/>
      <c r="AJ217" s="861"/>
      <c r="AK217" s="644"/>
    </row>
    <row r="218" spans="1:37">
      <c r="A218" s="639"/>
      <c r="B218" s="1954" t="s">
        <v>1291</v>
      </c>
      <c r="C218" s="1954"/>
      <c r="D218" s="1954"/>
      <c r="E218" s="1954"/>
      <c r="F218" s="1954"/>
      <c r="G218" s="1954"/>
      <c r="I218" s="1953"/>
      <c r="J218" s="1953"/>
      <c r="K218" s="1953"/>
      <c r="L218" s="1050"/>
      <c r="N218" s="1958"/>
      <c r="O218" s="1958"/>
      <c r="P218" s="1958"/>
      <c r="Q218" s="1958"/>
      <c r="R218" s="1958"/>
      <c r="T218" s="2112"/>
      <c r="U218" s="2112"/>
      <c r="V218" s="2112"/>
      <c r="W218" s="2112"/>
      <c r="X218" s="2112"/>
      <c r="Y218" s="2112"/>
      <c r="Z218" s="885"/>
      <c r="AA218" s="885"/>
      <c r="AB218" s="1955">
        <f t="shared" si="0"/>
        <v>0</v>
      </c>
      <c r="AC218" s="1955"/>
      <c r="AD218" s="1955"/>
      <c r="AE218" s="1955"/>
      <c r="AF218" s="1955"/>
      <c r="AG218" s="1955"/>
      <c r="AH218" s="861"/>
      <c r="AI218" s="861"/>
      <c r="AJ218" s="861"/>
      <c r="AK218" s="644"/>
    </row>
    <row r="219" spans="1:37">
      <c r="A219" s="639"/>
      <c r="B219" s="1954" t="s">
        <v>1291</v>
      </c>
      <c r="C219" s="1954"/>
      <c r="D219" s="1954"/>
      <c r="E219" s="1954"/>
      <c r="F219" s="1954"/>
      <c r="G219" s="1954"/>
      <c r="I219" s="1953"/>
      <c r="J219" s="1953"/>
      <c r="K219" s="1953"/>
      <c r="L219" s="1050"/>
      <c r="N219" s="1958"/>
      <c r="O219" s="1958"/>
      <c r="P219" s="1958"/>
      <c r="Q219" s="1958"/>
      <c r="R219" s="1958"/>
      <c r="T219" s="2112"/>
      <c r="U219" s="2112"/>
      <c r="V219" s="2112"/>
      <c r="W219" s="2112"/>
      <c r="X219" s="2112"/>
      <c r="Y219" s="2112"/>
      <c r="Z219" s="885"/>
      <c r="AA219" s="885"/>
      <c r="AB219" s="1955">
        <f t="shared" si="0"/>
        <v>0</v>
      </c>
      <c r="AC219" s="1955"/>
      <c r="AD219" s="1955"/>
      <c r="AE219" s="1955"/>
      <c r="AF219" s="1955"/>
      <c r="AG219" s="1955"/>
      <c r="AH219" s="861"/>
      <c r="AI219" s="861"/>
      <c r="AJ219" s="861"/>
      <c r="AK219" s="644"/>
    </row>
    <row r="220" spans="1:37">
      <c r="A220" s="639"/>
      <c r="B220" s="1954" t="s">
        <v>1291</v>
      </c>
      <c r="C220" s="1954"/>
      <c r="D220" s="1954"/>
      <c r="E220" s="1954"/>
      <c r="F220" s="1954"/>
      <c r="G220" s="1954"/>
      <c r="I220" s="1953"/>
      <c r="J220" s="1953"/>
      <c r="K220" s="1953"/>
      <c r="L220" s="1050"/>
      <c r="N220" s="1958"/>
      <c r="O220" s="1958"/>
      <c r="P220" s="1958"/>
      <c r="Q220" s="1958"/>
      <c r="R220" s="1958"/>
      <c r="T220" s="2112"/>
      <c r="U220" s="2112"/>
      <c r="V220" s="2112"/>
      <c r="W220" s="2112"/>
      <c r="X220" s="2112"/>
      <c r="Y220" s="2112"/>
      <c r="Z220" s="885"/>
      <c r="AA220" s="885"/>
      <c r="AB220" s="1955">
        <f t="shared" si="0"/>
        <v>0</v>
      </c>
      <c r="AC220" s="1955"/>
      <c r="AD220" s="1955"/>
      <c r="AE220" s="1955"/>
      <c r="AF220" s="1955"/>
      <c r="AG220" s="1955"/>
      <c r="AH220" s="861"/>
      <c r="AI220" s="861"/>
      <c r="AJ220" s="861"/>
      <c r="AK220" s="644"/>
    </row>
    <row r="221" spans="1:37">
      <c r="A221" s="639"/>
      <c r="B221" s="1954" t="s">
        <v>1291</v>
      </c>
      <c r="C221" s="1954"/>
      <c r="D221" s="1954"/>
      <c r="E221" s="1954"/>
      <c r="F221" s="1954"/>
      <c r="G221" s="1954"/>
      <c r="I221" s="1953"/>
      <c r="J221" s="1953"/>
      <c r="K221" s="1953"/>
      <c r="L221" s="1050"/>
      <c r="N221" s="1958"/>
      <c r="O221" s="1958"/>
      <c r="P221" s="1958"/>
      <c r="Q221" s="1958"/>
      <c r="R221" s="1958"/>
      <c r="T221" s="2112"/>
      <c r="U221" s="2112"/>
      <c r="V221" s="2112"/>
      <c r="W221" s="2112"/>
      <c r="X221" s="2112"/>
      <c r="Y221" s="2112"/>
      <c r="Z221" s="885"/>
      <c r="AA221" s="885"/>
      <c r="AB221" s="1955">
        <f t="shared" si="0"/>
        <v>0</v>
      </c>
      <c r="AC221" s="1955"/>
      <c r="AD221" s="1955"/>
      <c r="AE221" s="1955"/>
      <c r="AF221" s="1955"/>
      <c r="AG221" s="1955"/>
      <c r="AH221" s="861"/>
      <c r="AI221" s="861"/>
      <c r="AJ221" s="861"/>
      <c r="AK221" s="644"/>
    </row>
    <row r="222" spans="1:37">
      <c r="A222" s="639"/>
      <c r="B222" s="1954" t="s">
        <v>1291</v>
      </c>
      <c r="C222" s="1954"/>
      <c r="D222" s="1954"/>
      <c r="E222" s="1954"/>
      <c r="F222" s="1954"/>
      <c r="G222" s="1954"/>
      <c r="I222" s="1956"/>
      <c r="J222" s="1956"/>
      <c r="K222" s="1956"/>
      <c r="L222" s="1050"/>
      <c r="N222" s="1958"/>
      <c r="O222" s="1958"/>
      <c r="P222" s="1958"/>
      <c r="Q222" s="1958"/>
      <c r="R222" s="1958"/>
      <c r="T222" s="2112"/>
      <c r="U222" s="2112"/>
      <c r="V222" s="2112"/>
      <c r="W222" s="2112"/>
      <c r="X222" s="2112"/>
      <c r="Y222" s="2112"/>
      <c r="Z222" s="885"/>
      <c r="AA222" s="885"/>
      <c r="AB222" s="2110">
        <f t="shared" si="0"/>
        <v>0</v>
      </c>
      <c r="AC222" s="2110"/>
      <c r="AD222" s="2110"/>
      <c r="AE222" s="2110"/>
      <c r="AF222" s="2110"/>
      <c r="AG222" s="2110"/>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55">
        <f>SUM(AB213:AB222)</f>
        <v>0</v>
      </c>
      <c r="AC223" s="1955"/>
      <c r="AD223" s="1955"/>
      <c r="AE223" s="1955"/>
      <c r="AF223" s="1955"/>
      <c r="AG223" s="195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5"/>
      <c r="AC229" s="2115"/>
      <c r="AD229" s="2115"/>
      <c r="AE229" s="2115"/>
      <c r="AF229" s="2115"/>
      <c r="AG229" s="2115"/>
      <c r="AH229" s="644"/>
      <c r="AI229" s="644"/>
      <c r="AJ229" s="644"/>
      <c r="AK229" s="644"/>
    </row>
    <row r="230" spans="1:37" ht="13">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5"/>
      <c r="AC232" s="2115"/>
      <c r="AD232" s="2115"/>
      <c r="AE232" s="2115"/>
      <c r="AF232" s="2115"/>
      <c r="AG232" s="2115"/>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8"/>
      <c r="AC233" s="2138"/>
      <c r="AD233" s="2138"/>
      <c r="AE233" s="2138"/>
      <c r="AF233" s="2138"/>
      <c r="AG233" s="2138"/>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1">
        <f>IFERROR(AB232/AB233,0)</f>
        <v>0</v>
      </c>
      <c r="AC234" s="2121"/>
      <c r="AD234" s="2121"/>
      <c r="AE234" s="2121"/>
      <c r="AF234" s="2121"/>
      <c r="AG234" s="2121"/>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0">
        <f>MAX(AB229,AB234)</f>
        <v>0</v>
      </c>
      <c r="AC236" s="2110"/>
      <c r="AD236" s="2110"/>
      <c r="AE236" s="2110"/>
      <c r="AF236" s="2110"/>
      <c r="AG236" s="2110"/>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5">
        <f>AB223+AB236</f>
        <v>0</v>
      </c>
      <c r="AC239" s="1955"/>
      <c r="AD239" s="1955"/>
      <c r="AE239" s="1955"/>
      <c r="AF239" s="1955"/>
      <c r="AG239" s="1955"/>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6">
        <v>0.05</v>
      </c>
      <c r="AC240" s="1986"/>
      <c r="AD240" s="1986"/>
      <c r="AE240" s="1986"/>
      <c r="AF240" s="1986"/>
      <c r="AG240" s="1986"/>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7">
        <f>AB239-(AB239*AB240)</f>
        <v>0</v>
      </c>
      <c r="AC241" s="1987"/>
      <c r="AD241" s="1987"/>
      <c r="AE241" s="1987"/>
      <c r="AF241" s="1987"/>
      <c r="AG241" s="1987"/>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5">
        <f>AB241/AB247</f>
        <v>0</v>
      </c>
      <c r="AC243" s="1955"/>
      <c r="AD243" s="1955"/>
      <c r="AE243" s="1955"/>
      <c r="AF243" s="1955"/>
      <c r="AG243" s="195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7">
        <v>15</v>
      </c>
      <c r="AC245" s="1947"/>
      <c r="AD245" s="1947"/>
      <c r="AE245" s="1947"/>
      <c r="AF245" s="1947"/>
      <c r="AG245" s="1947"/>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8">
        <v>0.04</v>
      </c>
      <c r="AC246" s="1988"/>
      <c r="AD246" s="1988"/>
      <c r="AE246" s="1988"/>
      <c r="AF246" s="1988"/>
      <c r="AG246" s="1988"/>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9">
        <v>1.1499999999999999</v>
      </c>
      <c r="AC247" s="1959"/>
      <c r="AD247" s="1959"/>
      <c r="AE247" s="1959"/>
      <c r="AF247" s="1959"/>
      <c r="AG247" s="195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9">
        <f>PV(AB246/12,AB245*12,-AB243/12, ,0)</f>
        <v>0</v>
      </c>
      <c r="AC249" s="1980"/>
      <c r="AD249" s="1980"/>
      <c r="AE249" s="1980"/>
      <c r="AF249" s="1980"/>
      <c r="AG249" s="1981"/>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3">
        <f>IFERROR(('Sources and Uses Budget'!D105/'Sources and Uses Budget'!B105),0)</f>
        <v>0</v>
      </c>
      <c r="AC255" s="1984"/>
      <c r="AD255" s="1984"/>
      <c r="AE255" s="1984"/>
      <c r="AF255" s="1984"/>
      <c r="AG255" s="198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3">
        <f>AD200*(1-AB255)</f>
        <v>35000000</v>
      </c>
      <c r="AH257" s="1973"/>
      <c r="AI257" s="1973"/>
      <c r="AJ257" s="1973"/>
      <c r="AK257" s="1973"/>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3">
        <f>'Sources and Uses Budget'!C105</f>
        <v>90513569</v>
      </c>
      <c r="AH258" s="1973"/>
      <c r="AI258" s="1973"/>
      <c r="AJ258" s="1973"/>
      <c r="AK258" s="197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4">
        <f>ROUNDDOWN(IF(AND(C281="Yes",AK78=10),((AG257*2)/AG258),AG257/AG258),2)</f>
        <v>0.38</v>
      </c>
      <c r="AH259" s="1974"/>
      <c r="AI259" s="1974"/>
      <c r="AJ259" s="1974"/>
      <c r="AK259" s="1974"/>
    </row>
    <row r="260" spans="1:52" ht="13">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1975">
        <f>IFERROR(IF(AG259=0,0,IF((AG259*100)&gt;8,8,(AG259*100))),0)</f>
        <v>8</v>
      </c>
      <c r="AL262" s="1975"/>
      <c r="AM262" s="1976"/>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7" t="s">
        <v>554</v>
      </c>
      <c r="D267" s="1967"/>
      <c r="E267" s="581"/>
      <c r="F267" s="2124" t="s">
        <v>2339</v>
      </c>
      <c r="G267" s="2125"/>
      <c r="H267" s="2125"/>
      <c r="I267" s="2125"/>
      <c r="J267" s="2125"/>
      <c r="K267" s="2125"/>
      <c r="L267" s="2125"/>
      <c r="M267" s="2125"/>
      <c r="N267" s="2125"/>
      <c r="O267" s="2125"/>
      <c r="P267" s="2125"/>
      <c r="Q267" s="2125"/>
      <c r="R267" s="2125"/>
      <c r="S267" s="2125"/>
      <c r="T267" s="2125"/>
      <c r="U267" s="2125"/>
      <c r="V267" s="2125"/>
      <c r="W267" s="2125"/>
      <c r="X267" s="2125"/>
      <c r="Y267" s="2125"/>
      <c r="Z267" s="2125"/>
      <c r="AA267" s="2125"/>
      <c r="AB267" s="2125"/>
      <c r="AC267" s="2125"/>
      <c r="AD267" s="2126"/>
      <c r="AE267" s="584"/>
      <c r="AF267" s="669"/>
      <c r="AG267" s="1968" t="s">
        <v>1474</v>
      </c>
      <c r="AH267" s="1968"/>
      <c r="AI267" s="1968"/>
      <c r="AJ267" s="1968"/>
      <c r="AK267" s="584"/>
      <c r="AL267" s="584"/>
      <c r="AM267" s="584"/>
      <c r="AO267" s="584"/>
    </row>
    <row r="268" spans="1:52" ht="13.75" customHeight="1">
      <c r="A268" s="584"/>
      <c r="B268" s="630"/>
      <c r="C268" s="670"/>
      <c r="D268" s="584"/>
      <c r="E268" s="581"/>
      <c r="F268" s="2127"/>
      <c r="G268" s="2128"/>
      <c r="H268" s="2128"/>
      <c r="I268" s="2128"/>
      <c r="J268" s="2128"/>
      <c r="K268" s="2128"/>
      <c r="L268" s="2128"/>
      <c r="M268" s="2128"/>
      <c r="N268" s="2128"/>
      <c r="O268" s="2128"/>
      <c r="P268" s="2128"/>
      <c r="Q268" s="2128"/>
      <c r="R268" s="2128"/>
      <c r="S268" s="2128"/>
      <c r="T268" s="2128"/>
      <c r="U268" s="2128"/>
      <c r="V268" s="2128"/>
      <c r="W268" s="2128"/>
      <c r="X268" s="2128"/>
      <c r="Y268" s="2128"/>
      <c r="Z268" s="2128"/>
      <c r="AA268" s="2128"/>
      <c r="AB268" s="2128"/>
      <c r="AC268" s="2128"/>
      <c r="AD268" s="2129"/>
      <c r="AE268" s="584"/>
      <c r="AF268" s="669"/>
      <c r="AG268" s="669"/>
      <c r="AH268" s="669"/>
      <c r="AI268" s="669"/>
      <c r="AJ268" s="584"/>
      <c r="AK268" s="584"/>
      <c r="AL268" s="584"/>
      <c r="AM268" s="584"/>
      <c r="AO268" s="584"/>
    </row>
    <row r="269" spans="1:52">
      <c r="A269" s="584"/>
      <c r="B269" s="630"/>
      <c r="C269" s="670"/>
      <c r="D269" s="584"/>
      <c r="E269" s="581"/>
      <c r="F269" s="2127"/>
      <c r="G269" s="2128"/>
      <c r="H269" s="2128"/>
      <c r="I269" s="2128"/>
      <c r="J269" s="2128"/>
      <c r="K269" s="2128"/>
      <c r="L269" s="2128"/>
      <c r="M269" s="2128"/>
      <c r="N269" s="2128"/>
      <c r="O269" s="2128"/>
      <c r="P269" s="2128"/>
      <c r="Q269" s="2128"/>
      <c r="R269" s="2128"/>
      <c r="S269" s="2128"/>
      <c r="T269" s="2128"/>
      <c r="U269" s="2128"/>
      <c r="V269" s="2128"/>
      <c r="W269" s="2128"/>
      <c r="X269" s="2128"/>
      <c r="Y269" s="2128"/>
      <c r="Z269" s="2128"/>
      <c r="AA269" s="2128"/>
      <c r="AB269" s="2128"/>
      <c r="AC269" s="2128"/>
      <c r="AD269" s="2129"/>
      <c r="AE269" s="584"/>
      <c r="AF269" s="669"/>
      <c r="AG269" s="669"/>
      <c r="AH269" s="669"/>
      <c r="AI269" s="669"/>
      <c r="AJ269" s="584"/>
      <c r="AK269" s="584"/>
      <c r="AL269" s="584"/>
      <c r="AM269" s="584"/>
      <c r="AO269" s="584"/>
      <c r="AP269" s="671"/>
    </row>
    <row r="270" spans="1:52">
      <c r="A270" s="584"/>
      <c r="B270" s="630"/>
      <c r="C270" s="670"/>
      <c r="D270" s="584"/>
      <c r="E270" s="581"/>
      <c r="F270" s="2127"/>
      <c r="G270" s="2128"/>
      <c r="H270" s="2128"/>
      <c r="I270" s="2128"/>
      <c r="J270" s="2128"/>
      <c r="K270" s="2128"/>
      <c r="L270" s="2128"/>
      <c r="M270" s="2128"/>
      <c r="N270" s="2128"/>
      <c r="O270" s="2128"/>
      <c r="P270" s="2128"/>
      <c r="Q270" s="2128"/>
      <c r="R270" s="2128"/>
      <c r="S270" s="2128"/>
      <c r="T270" s="2128"/>
      <c r="U270" s="2128"/>
      <c r="V270" s="2128"/>
      <c r="W270" s="2128"/>
      <c r="X270" s="2128"/>
      <c r="Y270" s="2128"/>
      <c r="Z270" s="2128"/>
      <c r="AA270" s="2128"/>
      <c r="AB270" s="2128"/>
      <c r="AC270" s="2128"/>
      <c r="AD270" s="2129"/>
      <c r="AE270" s="584"/>
      <c r="AF270" s="669"/>
      <c r="AG270" s="669"/>
      <c r="AH270" s="669"/>
      <c r="AI270" s="669"/>
      <c r="AJ270" s="584"/>
      <c r="AK270" s="584"/>
      <c r="AL270" s="584"/>
      <c r="AM270" s="584"/>
      <c r="AO270" s="584"/>
      <c r="AP270" s="671"/>
    </row>
    <row r="271" spans="1:52" ht="13.75" customHeight="1">
      <c r="A271" s="584"/>
      <c r="B271" s="630"/>
      <c r="C271" s="1969"/>
      <c r="D271" s="1969"/>
      <c r="E271" s="581"/>
      <c r="F271" s="2130"/>
      <c r="G271" s="2131"/>
      <c r="H271" s="2131"/>
      <c r="I271" s="2131"/>
      <c r="J271" s="2131"/>
      <c r="K271" s="2131"/>
      <c r="L271" s="2131"/>
      <c r="M271" s="2131"/>
      <c r="N271" s="2131"/>
      <c r="O271" s="2131"/>
      <c r="P271" s="2131"/>
      <c r="Q271" s="2131"/>
      <c r="R271" s="2131"/>
      <c r="S271" s="2131"/>
      <c r="T271" s="2131"/>
      <c r="U271" s="2131"/>
      <c r="V271" s="2131"/>
      <c r="W271" s="2131"/>
      <c r="X271" s="2131"/>
      <c r="Y271" s="2131"/>
      <c r="Z271" s="2131"/>
      <c r="AA271" s="2131"/>
      <c r="AB271" s="2131"/>
      <c r="AC271" s="2131"/>
      <c r="AD271" s="2132"/>
      <c r="AE271" s="584"/>
      <c r="AF271" s="669"/>
      <c r="AG271" s="1968"/>
      <c r="AH271" s="1968"/>
      <c r="AI271" s="1968"/>
      <c r="AJ271" s="1968"/>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1975">
        <f>IF($C$267="yes",10,0)</f>
        <v>10</v>
      </c>
      <c r="AL274" s="1975"/>
      <c r="AM274" s="1976"/>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1491</v>
      </c>
      <c r="B277" s="572" t="s">
        <v>2045</v>
      </c>
      <c r="AH277" s="625" t="s">
        <v>1425</v>
      </c>
    </row>
    <row r="278" spans="1:49" ht="15" customHeight="1">
      <c r="B278" s="573"/>
    </row>
    <row r="279" spans="1:49" ht="15" customHeight="1">
      <c r="B279" s="573" t="s">
        <v>1918</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0" t="s">
        <v>1493</v>
      </c>
      <c r="B281" s="1670"/>
      <c r="C281" s="1963" t="s">
        <v>600</v>
      </c>
      <c r="D281" s="1967"/>
      <c r="E281" s="581"/>
      <c r="F281" s="1995" t="s">
        <v>1494</v>
      </c>
      <c r="G281" s="1996"/>
      <c r="H281" s="1996"/>
      <c r="I281" s="1996"/>
      <c r="J281" s="1996"/>
      <c r="K281" s="1996"/>
      <c r="L281" s="1996"/>
      <c r="M281" s="1996"/>
      <c r="N281" s="1996"/>
      <c r="O281" s="1996"/>
      <c r="P281" s="1996"/>
      <c r="Q281" s="1996"/>
      <c r="R281" s="1996"/>
      <c r="S281" s="1996"/>
      <c r="T281" s="1996"/>
      <c r="U281" s="1996"/>
      <c r="V281" s="1996"/>
      <c r="W281" s="1996"/>
      <c r="X281" s="1996"/>
      <c r="Y281" s="1996"/>
      <c r="Z281" s="1996"/>
      <c r="AA281" s="1996"/>
      <c r="AB281" s="1996"/>
      <c r="AC281" s="1996"/>
      <c r="AD281" s="1997"/>
      <c r="AE281" s="676"/>
      <c r="AF281" s="584"/>
      <c r="AG281" s="1998" t="s">
        <v>2332</v>
      </c>
      <c r="AH281" s="1998"/>
      <c r="AI281" s="1998"/>
      <c r="AJ281" s="1998"/>
      <c r="AK281" s="1998"/>
      <c r="AL281" s="584"/>
      <c r="AM281" s="584"/>
      <c r="AN281" s="73"/>
      <c r="AO281" s="14"/>
      <c r="AP281" s="30"/>
      <c r="AS281" s="604"/>
      <c r="AT281" s="604"/>
      <c r="AU281" s="604"/>
      <c r="AV281" s="32"/>
      <c r="AW281" s="32"/>
    </row>
    <row r="282" spans="1:49" ht="13">
      <c r="A282" s="674"/>
      <c r="B282" s="630"/>
      <c r="F282" s="1989"/>
      <c r="G282" s="1990"/>
      <c r="H282" s="1990"/>
      <c r="I282" s="1990"/>
      <c r="J282" s="1990"/>
      <c r="K282" s="1990"/>
      <c r="L282" s="1990"/>
      <c r="M282" s="1990"/>
      <c r="N282" s="1990"/>
      <c r="O282" s="1990"/>
      <c r="P282" s="1990"/>
      <c r="Q282" s="1990"/>
      <c r="R282" s="1990"/>
      <c r="S282" s="1990"/>
      <c r="T282" s="1990"/>
      <c r="U282" s="1990"/>
      <c r="V282" s="1990"/>
      <c r="W282" s="1990"/>
      <c r="X282" s="1990"/>
      <c r="Y282" s="1990"/>
      <c r="Z282" s="1990"/>
      <c r="AA282" s="1990"/>
      <c r="AB282" s="1990"/>
      <c r="AC282" s="1990"/>
      <c r="AD282" s="199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9"/>
      <c r="G283" s="1990"/>
      <c r="H283" s="1990"/>
      <c r="I283" s="1990"/>
      <c r="J283" s="1990"/>
      <c r="K283" s="1990"/>
      <c r="L283" s="1990"/>
      <c r="M283" s="1990"/>
      <c r="N283" s="1990"/>
      <c r="O283" s="1990"/>
      <c r="P283" s="1990"/>
      <c r="Q283" s="1990"/>
      <c r="R283" s="1990"/>
      <c r="S283" s="1990"/>
      <c r="T283" s="1990"/>
      <c r="U283" s="1990"/>
      <c r="V283" s="1990"/>
      <c r="W283" s="1990"/>
      <c r="X283" s="1990"/>
      <c r="Y283" s="1990"/>
      <c r="Z283" s="1990"/>
      <c r="AA283" s="1990"/>
      <c r="AB283" s="1990"/>
      <c r="AC283" s="1990"/>
      <c r="AD283" s="1991"/>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9" t="s">
        <v>2340</v>
      </c>
      <c r="G284" s="1990"/>
      <c r="H284" s="1990"/>
      <c r="I284" s="1990"/>
      <c r="J284" s="1990"/>
      <c r="K284" s="1990"/>
      <c r="L284" s="1990"/>
      <c r="M284" s="1990"/>
      <c r="N284" s="1990"/>
      <c r="O284" s="1990"/>
      <c r="P284" s="1990"/>
      <c r="Q284" s="1990"/>
      <c r="R284" s="1990"/>
      <c r="S284" s="1990"/>
      <c r="T284" s="1990"/>
      <c r="U284" s="1990"/>
      <c r="V284" s="1990"/>
      <c r="W284" s="1990"/>
      <c r="X284" s="1990"/>
      <c r="Y284" s="1990"/>
      <c r="Z284" s="1990"/>
      <c r="AA284" s="1990"/>
      <c r="AB284" s="1990"/>
      <c r="AC284" s="1990"/>
      <c r="AD284" s="1991"/>
      <c r="AE284" s="676"/>
      <c r="AF284" s="585"/>
      <c r="AH284" s="585"/>
      <c r="AI284" s="585"/>
      <c r="AJ284" s="584"/>
      <c r="AK284" s="584"/>
      <c r="AL284" s="584"/>
      <c r="AM284" s="584"/>
      <c r="AN284" s="73"/>
      <c r="AO284" s="14"/>
      <c r="AP284" s="645">
        <f>MAX(AP282,AP283)</f>
        <v>9</v>
      </c>
      <c r="AQ284" s="608" t="s">
        <v>1427</v>
      </c>
      <c r="AS284" s="604"/>
      <c r="AT284" s="604"/>
      <c r="AU284" s="604"/>
      <c r="AV284" s="32"/>
      <c r="AW284" s="32"/>
    </row>
    <row r="285" spans="1:49" ht="13">
      <c r="A285" s="674"/>
      <c r="B285" s="630"/>
      <c r="F285" s="1989"/>
      <c r="G285" s="1990"/>
      <c r="H285" s="1990"/>
      <c r="I285" s="1990"/>
      <c r="J285" s="1990"/>
      <c r="K285" s="1990"/>
      <c r="L285" s="1990"/>
      <c r="M285" s="1990"/>
      <c r="N285" s="1990"/>
      <c r="O285" s="1990"/>
      <c r="P285" s="1990"/>
      <c r="Q285" s="1990"/>
      <c r="R285" s="1990"/>
      <c r="S285" s="1990"/>
      <c r="T285" s="1990"/>
      <c r="U285" s="1990"/>
      <c r="V285" s="1990"/>
      <c r="W285" s="1990"/>
      <c r="X285" s="1990"/>
      <c r="Y285" s="1990"/>
      <c r="Z285" s="1990"/>
      <c r="AA285" s="1990"/>
      <c r="AB285" s="1990"/>
      <c r="AC285" s="1990"/>
      <c r="AD285" s="199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9" t="s">
        <v>1495</v>
      </c>
      <c r="G286" s="1990"/>
      <c r="H286" s="1990"/>
      <c r="I286" s="1990"/>
      <c r="J286" s="1990"/>
      <c r="K286" s="1990"/>
      <c r="L286" s="1990"/>
      <c r="M286" s="1990"/>
      <c r="N286" s="1990"/>
      <c r="O286" s="1990"/>
      <c r="P286" s="1990"/>
      <c r="Q286" s="1990"/>
      <c r="R286" s="1990"/>
      <c r="S286" s="1990"/>
      <c r="T286" s="1990"/>
      <c r="U286" s="1990"/>
      <c r="V286" s="1990"/>
      <c r="W286" s="1990"/>
      <c r="X286" s="1990"/>
      <c r="Y286" s="1990"/>
      <c r="Z286" s="1990"/>
      <c r="AA286" s="1990"/>
      <c r="AB286" s="1990"/>
      <c r="AC286" s="1990"/>
      <c r="AD286" s="199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9"/>
      <c r="G287" s="1990"/>
      <c r="H287" s="1990"/>
      <c r="I287" s="1990"/>
      <c r="J287" s="1990"/>
      <c r="K287" s="1990"/>
      <c r="L287" s="1990"/>
      <c r="M287" s="1990"/>
      <c r="N287" s="1990"/>
      <c r="O287" s="1990"/>
      <c r="P287" s="1990"/>
      <c r="Q287" s="1990"/>
      <c r="R287" s="1990"/>
      <c r="S287" s="1990"/>
      <c r="T287" s="1990"/>
      <c r="U287" s="1990"/>
      <c r="V287" s="1990"/>
      <c r="W287" s="1990"/>
      <c r="X287" s="1990"/>
      <c r="Y287" s="1990"/>
      <c r="Z287" s="1990"/>
      <c r="AA287" s="1990"/>
      <c r="AB287" s="1990"/>
      <c r="AC287" s="1990"/>
      <c r="AD287" s="199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9" t="s">
        <v>1496</v>
      </c>
      <c r="G288" s="1990"/>
      <c r="H288" s="1990"/>
      <c r="I288" s="1990"/>
      <c r="J288" s="1990"/>
      <c r="K288" s="1990"/>
      <c r="L288" s="1990"/>
      <c r="M288" s="1990"/>
      <c r="N288" s="1990"/>
      <c r="O288" s="1990"/>
      <c r="P288" s="1990"/>
      <c r="Q288" s="1990"/>
      <c r="R288" s="1990"/>
      <c r="S288" s="1990"/>
      <c r="T288" s="1990"/>
      <c r="U288" s="1990"/>
      <c r="V288" s="1990"/>
      <c r="W288" s="1990"/>
      <c r="X288" s="1990"/>
      <c r="Y288" s="1990"/>
      <c r="Z288" s="1990"/>
      <c r="AA288" s="1990"/>
      <c r="AB288" s="1990"/>
      <c r="AC288" s="1990"/>
      <c r="AD288" s="199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2"/>
      <c r="G289" s="1993"/>
      <c r="H289" s="1993"/>
      <c r="I289" s="1993"/>
      <c r="J289" s="1993"/>
      <c r="K289" s="1993"/>
      <c r="L289" s="1993"/>
      <c r="M289" s="1993"/>
      <c r="N289" s="1993"/>
      <c r="O289" s="1993"/>
      <c r="P289" s="1993"/>
      <c r="Q289" s="1993"/>
      <c r="R289" s="1993"/>
      <c r="S289" s="1993"/>
      <c r="T289" s="1993"/>
      <c r="U289" s="1993"/>
      <c r="V289" s="1993"/>
      <c r="W289" s="1993"/>
      <c r="X289" s="1993"/>
      <c r="Y289" s="1993"/>
      <c r="Z289" s="1993"/>
      <c r="AA289" s="1993"/>
      <c r="AB289" s="1993"/>
      <c r="AC289" s="1993"/>
      <c r="AD289" s="1994"/>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0" t="s">
        <v>1497</v>
      </c>
      <c r="B291" s="1670"/>
      <c r="C291" s="1967" t="s">
        <v>554</v>
      </c>
      <c r="D291" s="1967"/>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1901" t="s">
        <v>2334</v>
      </c>
      <c r="G292" s="1902"/>
      <c r="H292" s="1902"/>
      <c r="I292" s="1902"/>
      <c r="J292" s="1902"/>
      <c r="K292" s="1902"/>
      <c r="L292" s="1902"/>
      <c r="M292" s="1902"/>
      <c r="N292" s="1902"/>
      <c r="O292" s="1902"/>
      <c r="P292" s="1902"/>
      <c r="Q292" s="1902"/>
      <c r="R292" s="1902"/>
      <c r="S292" s="1902"/>
      <c r="T292" s="1902"/>
      <c r="U292" s="1902"/>
      <c r="V292" s="1902"/>
      <c r="W292" s="1902"/>
      <c r="X292" s="1902"/>
      <c r="Y292" s="1902"/>
      <c r="Z292" s="1902"/>
      <c r="AA292" s="1902"/>
      <c r="AB292" s="1902"/>
      <c r="AC292" s="1902"/>
      <c r="AD292" s="1903"/>
      <c r="AE292" s="585"/>
      <c r="AF292" s="585"/>
      <c r="AG292" s="585"/>
      <c r="AH292" s="585"/>
      <c r="AI292" s="585"/>
      <c r="AJ292" s="584"/>
      <c r="AK292" s="584"/>
      <c r="AL292" s="584"/>
      <c r="AM292" s="584"/>
      <c r="AR292" s="682"/>
    </row>
    <row r="293" spans="1:49" ht="15" customHeight="1">
      <c r="A293" s="584"/>
      <c r="B293" s="585"/>
      <c r="C293" s="584"/>
      <c r="D293" s="585"/>
      <c r="E293" s="584"/>
      <c r="F293" s="1901"/>
      <c r="G293" s="1902"/>
      <c r="H293" s="1902"/>
      <c r="I293" s="1902"/>
      <c r="J293" s="1902"/>
      <c r="K293" s="1902"/>
      <c r="L293" s="1902"/>
      <c r="M293" s="1902"/>
      <c r="N293" s="1902"/>
      <c r="O293" s="1902"/>
      <c r="P293" s="1902"/>
      <c r="Q293" s="1902"/>
      <c r="R293" s="1902"/>
      <c r="S293" s="1902"/>
      <c r="T293" s="1902"/>
      <c r="U293" s="1902"/>
      <c r="V293" s="1902"/>
      <c r="W293" s="1902"/>
      <c r="X293" s="1902"/>
      <c r="Y293" s="1902"/>
      <c r="Z293" s="1902"/>
      <c r="AA293" s="1902"/>
      <c r="AB293" s="1902"/>
      <c r="AC293" s="1902"/>
      <c r="AD293" s="1903"/>
      <c r="AE293" s="585"/>
      <c r="AF293" s="585"/>
      <c r="AG293" s="585"/>
      <c r="AH293" s="585"/>
      <c r="AI293" s="585"/>
      <c r="AJ293" s="584"/>
      <c r="AK293" s="584"/>
      <c r="AL293" s="584"/>
      <c r="AM293" s="584"/>
      <c r="AR293" s="682"/>
    </row>
    <row r="294" spans="1:49">
      <c r="A294" s="584"/>
      <c r="B294" s="585"/>
      <c r="C294" s="584"/>
      <c r="D294" s="585"/>
      <c r="E294" s="584"/>
      <c r="F294" s="1901"/>
      <c r="G294" s="1902"/>
      <c r="H294" s="1902"/>
      <c r="I294" s="1902"/>
      <c r="J294" s="1902"/>
      <c r="K294" s="1902"/>
      <c r="L294" s="1902"/>
      <c r="M294" s="1902"/>
      <c r="N294" s="1902"/>
      <c r="O294" s="1902"/>
      <c r="P294" s="1902"/>
      <c r="Q294" s="1902"/>
      <c r="R294" s="1902"/>
      <c r="S294" s="1902"/>
      <c r="T294" s="1902"/>
      <c r="U294" s="1902"/>
      <c r="V294" s="1902"/>
      <c r="W294" s="1902"/>
      <c r="X294" s="1902"/>
      <c r="Y294" s="1902"/>
      <c r="Z294" s="1902"/>
      <c r="AA294" s="1902"/>
      <c r="AB294" s="1902"/>
      <c r="AC294" s="1902"/>
      <c r="AD294" s="190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8"/>
      <c r="G295" s="1899"/>
      <c r="H295" s="1899"/>
      <c r="I295" s="1899"/>
      <c r="J295" s="1899"/>
      <c r="K295" s="1899"/>
      <c r="L295" s="1899"/>
      <c r="M295" s="1899"/>
      <c r="N295" s="1899"/>
      <c r="O295" s="1899"/>
      <c r="P295" s="1899"/>
      <c r="Q295" s="1899"/>
      <c r="R295" s="1899"/>
      <c r="S295" s="1899"/>
      <c r="T295" s="1899"/>
      <c r="U295" s="1899"/>
      <c r="V295" s="1899"/>
      <c r="W295" s="1899"/>
      <c r="X295" s="1899"/>
      <c r="Y295" s="1899"/>
      <c r="Z295" s="1899"/>
      <c r="AA295" s="1899"/>
      <c r="AB295" s="1899"/>
      <c r="AC295" s="1899"/>
      <c r="AD295" s="190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70" t="s">
        <v>1500</v>
      </c>
      <c r="B299" s="1670"/>
      <c r="C299" s="1967" t="s">
        <v>600</v>
      </c>
      <c r="D299" s="1967"/>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t="13" hidden="1">
      <c r="A300" s="89"/>
      <c r="B300" s="89"/>
      <c r="C300" s="764"/>
      <c r="D300" s="764"/>
      <c r="E300" s="581"/>
      <c r="F300" s="1989" t="s">
        <v>2341</v>
      </c>
      <c r="G300" s="1990"/>
      <c r="H300" s="1990"/>
      <c r="I300" s="1990"/>
      <c r="J300" s="1990"/>
      <c r="K300" s="1990"/>
      <c r="L300" s="1990"/>
      <c r="M300" s="1990"/>
      <c r="N300" s="1990"/>
      <c r="O300" s="1990"/>
      <c r="P300" s="1990"/>
      <c r="Q300" s="1990"/>
      <c r="R300" s="1990"/>
      <c r="S300" s="1990"/>
      <c r="T300" s="1990"/>
      <c r="U300" s="1990"/>
      <c r="V300" s="1990"/>
      <c r="W300" s="1990"/>
      <c r="X300" s="1990"/>
      <c r="Y300" s="1990"/>
      <c r="Z300" s="1990"/>
      <c r="AA300" s="1990"/>
      <c r="AB300" s="1990"/>
      <c r="AC300" s="1990"/>
      <c r="AD300" s="1991"/>
      <c r="AE300" s="585"/>
      <c r="AF300" s="585"/>
      <c r="AG300" s="573"/>
      <c r="AH300" s="585"/>
      <c r="AI300" s="585"/>
      <c r="AJ300" s="584"/>
      <c r="AK300" s="584"/>
      <c r="AL300" s="584"/>
      <c r="AM300" s="584"/>
      <c r="AN300" s="73"/>
      <c r="AO300" s="14"/>
      <c r="AP300" s="591" t="s">
        <v>1291</v>
      </c>
    </row>
    <row r="301" spans="1:49" hidden="1">
      <c r="F301" s="1989"/>
      <c r="G301" s="1990"/>
      <c r="H301" s="1990"/>
      <c r="I301" s="1990"/>
      <c r="J301" s="1990"/>
      <c r="K301" s="1990"/>
      <c r="L301" s="1990"/>
      <c r="M301" s="1990"/>
      <c r="N301" s="1990"/>
      <c r="O301" s="1990"/>
      <c r="P301" s="1990"/>
      <c r="Q301" s="1990"/>
      <c r="R301" s="1990"/>
      <c r="S301" s="1990"/>
      <c r="T301" s="1990"/>
      <c r="U301" s="1990"/>
      <c r="V301" s="1990"/>
      <c r="W301" s="1990"/>
      <c r="X301" s="1990"/>
      <c r="Y301" s="1990"/>
      <c r="Z301" s="1990"/>
      <c r="AA301" s="1990"/>
      <c r="AB301" s="1990"/>
      <c r="AC301" s="1990"/>
      <c r="AD301" s="1991"/>
      <c r="AE301" s="585"/>
      <c r="AF301" s="585"/>
      <c r="AH301" s="585"/>
      <c r="AI301" s="585"/>
      <c r="AJ301" s="584"/>
      <c r="AK301" s="584"/>
      <c r="AL301" s="584"/>
      <c r="AM301" s="584"/>
      <c r="AN301" s="73"/>
      <c r="AO301" s="14"/>
      <c r="AP301" s="591" t="s">
        <v>1920</v>
      </c>
    </row>
    <row r="302" spans="1:49" ht="13"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9" t="s">
        <v>1291</v>
      </c>
      <c r="G305" s="2000"/>
      <c r="H305" s="2000"/>
      <c r="I305" s="2000"/>
      <c r="J305" s="2000"/>
      <c r="K305" s="2000"/>
      <c r="L305" s="2000"/>
      <c r="M305" s="2000"/>
      <c r="N305" s="2000"/>
      <c r="O305" s="2000"/>
      <c r="P305" s="2000"/>
      <c r="Q305" s="2000"/>
      <c r="R305" s="2000"/>
      <c r="S305" s="2000"/>
      <c r="T305" s="2000"/>
      <c r="U305" s="2000"/>
      <c r="V305" s="2000"/>
      <c r="W305" s="2000"/>
      <c r="X305" s="2000"/>
      <c r="Y305" s="2000"/>
      <c r="Z305" s="2000"/>
      <c r="AA305" s="2000"/>
      <c r="AB305" s="2000"/>
      <c r="AC305" s="2000"/>
      <c r="AD305" s="2001"/>
      <c r="AE305" s="676"/>
      <c r="AF305" s="676"/>
      <c r="AG305" s="676"/>
      <c r="AH305" s="676"/>
      <c r="AI305" s="676"/>
      <c r="AJ305" s="676"/>
      <c r="AK305" s="676"/>
      <c r="AL305" s="584"/>
      <c r="AM305" s="584"/>
      <c r="AN305" s="73"/>
      <c r="AO305" s="14"/>
      <c r="AP305" s="30"/>
    </row>
    <row r="306" spans="1:42" ht="13" hidden="1">
      <c r="A306" s="584"/>
      <c r="B306" s="585"/>
      <c r="C306" s="764"/>
      <c r="D306" s="764"/>
      <c r="E306" s="581"/>
      <c r="F306" s="1999"/>
      <c r="G306" s="2000"/>
      <c r="H306" s="2000"/>
      <c r="I306" s="2000"/>
      <c r="J306" s="2000"/>
      <c r="K306" s="2000"/>
      <c r="L306" s="2000"/>
      <c r="M306" s="2000"/>
      <c r="N306" s="2000"/>
      <c r="O306" s="2000"/>
      <c r="P306" s="2000"/>
      <c r="Q306" s="2000"/>
      <c r="R306" s="2000"/>
      <c r="S306" s="2000"/>
      <c r="T306" s="2000"/>
      <c r="U306" s="2000"/>
      <c r="V306" s="2000"/>
      <c r="W306" s="2000"/>
      <c r="X306" s="2000"/>
      <c r="Y306" s="2000"/>
      <c r="Z306" s="2000"/>
      <c r="AA306" s="2000"/>
      <c r="AB306" s="2000"/>
      <c r="AC306" s="2000"/>
      <c r="AD306" s="2001"/>
      <c r="AE306" s="585"/>
      <c r="AF306" s="585"/>
      <c r="AG306" s="573"/>
      <c r="AH306" s="585"/>
      <c r="AI306" s="585"/>
      <c r="AJ306" s="584"/>
      <c r="AK306" s="584"/>
      <c r="AL306" s="584"/>
      <c r="AM306" s="584"/>
      <c r="AN306" s="73"/>
      <c r="AO306" s="14"/>
      <c r="AP306" s="30"/>
    </row>
    <row r="307" spans="1:42" ht="13" hidden="1">
      <c r="A307" s="584"/>
      <c r="B307" s="585"/>
      <c r="C307" s="764"/>
      <c r="D307" s="764"/>
      <c r="E307" s="581"/>
      <c r="F307" s="1999"/>
      <c r="G307" s="2000"/>
      <c r="H307" s="2000"/>
      <c r="I307" s="2000"/>
      <c r="J307" s="2000"/>
      <c r="K307" s="2000"/>
      <c r="L307" s="2000"/>
      <c r="M307" s="2000"/>
      <c r="N307" s="2000"/>
      <c r="O307" s="2000"/>
      <c r="P307" s="2000"/>
      <c r="Q307" s="2000"/>
      <c r="R307" s="2000"/>
      <c r="S307" s="2000"/>
      <c r="T307" s="2000"/>
      <c r="U307" s="2000"/>
      <c r="V307" s="2000"/>
      <c r="W307" s="2000"/>
      <c r="X307" s="2000"/>
      <c r="Y307" s="2000"/>
      <c r="Z307" s="2000"/>
      <c r="AA307" s="2000"/>
      <c r="AB307" s="2000"/>
      <c r="AC307" s="2000"/>
      <c r="AD307" s="2001"/>
      <c r="AE307" s="585"/>
      <c r="AF307" s="585"/>
      <c r="AG307" s="573"/>
      <c r="AH307" s="585"/>
      <c r="AI307" s="585"/>
      <c r="AJ307" s="584"/>
      <c r="AK307" s="584"/>
      <c r="AL307" s="584"/>
      <c r="AM307" s="584"/>
      <c r="AN307" s="73"/>
      <c r="AO307" s="14"/>
      <c r="AP307" s="30"/>
    </row>
    <row r="308" spans="1:42" ht="13" hidden="1">
      <c r="A308" s="584"/>
      <c r="B308" s="585"/>
      <c r="C308" s="764"/>
      <c r="D308" s="764"/>
      <c r="E308" s="581"/>
      <c r="F308" s="1999"/>
      <c r="G308" s="2000"/>
      <c r="H308" s="2000"/>
      <c r="I308" s="2000"/>
      <c r="J308" s="2000"/>
      <c r="K308" s="2000"/>
      <c r="L308" s="2000"/>
      <c r="M308" s="2000"/>
      <c r="N308" s="2000"/>
      <c r="O308" s="2000"/>
      <c r="P308" s="2000"/>
      <c r="Q308" s="2000"/>
      <c r="R308" s="2000"/>
      <c r="S308" s="2000"/>
      <c r="T308" s="2000"/>
      <c r="U308" s="2000"/>
      <c r="V308" s="2000"/>
      <c r="W308" s="2000"/>
      <c r="X308" s="2000"/>
      <c r="Y308" s="2000"/>
      <c r="Z308" s="2000"/>
      <c r="AA308" s="2000"/>
      <c r="AB308" s="2000"/>
      <c r="AC308" s="2000"/>
      <c r="AD308" s="2001"/>
      <c r="AE308" s="585"/>
      <c r="AF308" s="585"/>
      <c r="AG308" s="573"/>
      <c r="AH308" s="585"/>
      <c r="AI308" s="585"/>
      <c r="AJ308" s="584"/>
      <c r="AK308" s="584"/>
      <c r="AL308" s="584"/>
      <c r="AM308" s="584"/>
      <c r="AN308" s="73"/>
      <c r="AO308" s="14"/>
      <c r="AP308" s="30"/>
    </row>
    <row r="309" spans="1:42" ht="13" hidden="1">
      <c r="A309" s="584"/>
      <c r="B309" s="585"/>
      <c r="C309" s="764"/>
      <c r="D309" s="764"/>
      <c r="E309" s="581"/>
      <c r="F309" s="2002"/>
      <c r="G309" s="2003"/>
      <c r="H309" s="2003"/>
      <c r="I309" s="2003"/>
      <c r="J309" s="2003"/>
      <c r="K309" s="2003"/>
      <c r="L309" s="2003"/>
      <c r="M309" s="2003"/>
      <c r="N309" s="2003"/>
      <c r="O309" s="2003"/>
      <c r="P309" s="2003"/>
      <c r="Q309" s="2003"/>
      <c r="R309" s="2003"/>
      <c r="S309" s="2003"/>
      <c r="T309" s="2003"/>
      <c r="U309" s="2003"/>
      <c r="V309" s="2003"/>
      <c r="W309" s="2003"/>
      <c r="X309" s="2003"/>
      <c r="Y309" s="2003"/>
      <c r="Z309" s="2003"/>
      <c r="AA309" s="2003"/>
      <c r="AB309" s="2003"/>
      <c r="AC309" s="2003"/>
      <c r="AD309" s="2004"/>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5" t="s">
        <v>1291</v>
      </c>
      <c r="J313" s="2005"/>
      <c r="K313" s="2005"/>
      <c r="L313" s="2005"/>
      <c r="M313" s="2005"/>
      <c r="N313" s="2005"/>
      <c r="O313" s="2005"/>
      <c r="P313" s="2005"/>
      <c r="Q313" s="2005"/>
      <c r="R313" s="2005"/>
      <c r="S313" s="2005"/>
      <c r="T313" s="2005"/>
      <c r="U313" s="2005"/>
      <c r="V313" s="2005"/>
      <c r="W313" s="2005"/>
      <c r="X313" s="2005"/>
      <c r="Y313" s="2005"/>
      <c r="Z313" s="2005"/>
      <c r="AA313" s="2005"/>
      <c r="AB313" s="2005"/>
      <c r="AC313" s="2005"/>
      <c r="AD313" s="2006"/>
      <c r="AE313" s="585"/>
      <c r="AF313" s="585"/>
      <c r="AG313" s="573"/>
      <c r="AH313" s="585"/>
      <c r="AI313" s="585"/>
      <c r="AJ313" s="584"/>
      <c r="AK313" s="584"/>
      <c r="AL313" s="584"/>
      <c r="AM313" s="584"/>
      <c r="AN313" s="73"/>
      <c r="AO313" s="14"/>
      <c r="AP313" s="591" t="s">
        <v>1750</v>
      </c>
    </row>
    <row r="314" spans="1:42" ht="13" hidden="1">
      <c r="A314" s="584"/>
      <c r="B314" s="585"/>
      <c r="C314" s="764"/>
      <c r="D314" s="764"/>
      <c r="E314" s="581"/>
      <c r="F314" s="690"/>
      <c r="G314" s="609"/>
      <c r="H314" s="609"/>
      <c r="I314" s="2005"/>
      <c r="J314" s="2005"/>
      <c r="K314" s="2005"/>
      <c r="L314" s="2005"/>
      <c r="M314" s="2005"/>
      <c r="N314" s="2005"/>
      <c r="O314" s="2005"/>
      <c r="P314" s="2005"/>
      <c r="Q314" s="2005"/>
      <c r="R314" s="2005"/>
      <c r="S314" s="2005"/>
      <c r="T314" s="2005"/>
      <c r="U314" s="2005"/>
      <c r="V314" s="2005"/>
      <c r="W314" s="2005"/>
      <c r="X314" s="2005"/>
      <c r="Y314" s="2005"/>
      <c r="Z314" s="2005"/>
      <c r="AA314" s="2005"/>
      <c r="AB314" s="2005"/>
      <c r="AC314" s="2005"/>
      <c r="AD314" s="2006"/>
      <c r="AE314" s="585"/>
      <c r="AF314" s="585"/>
      <c r="AG314" s="573"/>
      <c r="AH314" s="585"/>
      <c r="AI314" s="585"/>
      <c r="AJ314" s="584"/>
      <c r="AK314" s="584"/>
      <c r="AL314" s="584"/>
      <c r="AM314" s="584"/>
      <c r="AN314" s="73"/>
      <c r="AO314" s="14"/>
      <c r="AP314" s="591" t="s">
        <v>1923</v>
      </c>
    </row>
    <row r="315" spans="1:42" ht="13" hidden="1">
      <c r="A315" s="584"/>
      <c r="B315" s="585"/>
      <c r="C315" s="685"/>
      <c r="D315" s="685"/>
      <c r="E315" s="581"/>
      <c r="F315" s="690"/>
      <c r="G315" s="609"/>
      <c r="H315" s="609"/>
      <c r="I315" s="2005"/>
      <c r="J315" s="2005"/>
      <c r="K315" s="2005"/>
      <c r="L315" s="2005"/>
      <c r="M315" s="2005"/>
      <c r="N315" s="2005"/>
      <c r="O315" s="2005"/>
      <c r="P315" s="2005"/>
      <c r="Q315" s="2005"/>
      <c r="R315" s="2005"/>
      <c r="S315" s="2005"/>
      <c r="T315" s="2005"/>
      <c r="U315" s="2005"/>
      <c r="V315" s="2005"/>
      <c r="W315" s="2005"/>
      <c r="X315" s="2005"/>
      <c r="Y315" s="2005"/>
      <c r="Z315" s="2005"/>
      <c r="AA315" s="2005"/>
      <c r="AB315" s="2005"/>
      <c r="AC315" s="2005"/>
      <c r="AD315" s="2006"/>
      <c r="AE315" s="585"/>
      <c r="AF315" s="585"/>
      <c r="AG315" s="573"/>
      <c r="AH315" s="585"/>
      <c r="AI315" s="585"/>
      <c r="AJ315" s="584"/>
      <c r="AK315" s="584"/>
      <c r="AL315" s="584"/>
      <c r="AM315" s="584"/>
      <c r="AN315" s="73"/>
      <c r="AO315" s="14"/>
      <c r="AP315" s="591" t="s">
        <v>1925</v>
      </c>
    </row>
    <row r="316" spans="1:42" ht="13" hidden="1">
      <c r="A316" s="584"/>
      <c r="B316" s="585"/>
      <c r="C316" s="685"/>
      <c r="D316" s="685"/>
      <c r="E316" s="581"/>
      <c r="F316" s="688"/>
      <c r="G316" s="585"/>
      <c r="H316" s="585"/>
      <c r="I316" s="2007"/>
      <c r="J316" s="2007"/>
      <c r="K316" s="2007"/>
      <c r="L316" s="2007"/>
      <c r="M316" s="2007"/>
      <c r="N316" s="2007"/>
      <c r="O316" s="2007"/>
      <c r="P316" s="2007"/>
      <c r="Q316" s="2007"/>
      <c r="R316" s="2007"/>
      <c r="S316" s="2007"/>
      <c r="T316" s="2007"/>
      <c r="U316" s="2007"/>
      <c r="V316" s="2007"/>
      <c r="W316" s="2007"/>
      <c r="X316" s="2007"/>
      <c r="Y316" s="2007"/>
      <c r="Z316" s="2007"/>
      <c r="AA316" s="2007"/>
      <c r="AB316" s="2007"/>
      <c r="AC316" s="2007"/>
      <c r="AD316" s="2008"/>
      <c r="AE316" s="585"/>
      <c r="AF316" s="585"/>
      <c r="AG316" s="573"/>
      <c r="AH316" s="585"/>
      <c r="AI316" s="585"/>
      <c r="AJ316" s="584"/>
      <c r="AK316" s="584"/>
      <c r="AL316" s="584"/>
      <c r="AM316" s="584"/>
      <c r="AN316" s="73"/>
      <c r="AO316" s="14"/>
      <c r="AP316" s="591" t="s">
        <v>1924</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05" t="s">
        <v>1291</v>
      </c>
      <c r="J318" s="2005"/>
      <c r="K318" s="2005"/>
      <c r="L318" s="2005"/>
      <c r="M318" s="2005"/>
      <c r="N318" s="2005"/>
      <c r="O318" s="2005"/>
      <c r="P318" s="2005"/>
      <c r="Q318" s="2005"/>
      <c r="R318" s="2005"/>
      <c r="S318" s="2005"/>
      <c r="T318" s="2005"/>
      <c r="U318" s="2005"/>
      <c r="V318" s="2005"/>
      <c r="W318" s="2005"/>
      <c r="X318" s="2005"/>
      <c r="Y318" s="2005"/>
      <c r="Z318" s="2005"/>
      <c r="AA318" s="2005"/>
      <c r="AB318" s="2005"/>
      <c r="AC318" s="2005"/>
      <c r="AD318" s="2006"/>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05"/>
      <c r="J319" s="2005"/>
      <c r="K319" s="2005"/>
      <c r="L319" s="2005"/>
      <c r="M319" s="2005"/>
      <c r="N319" s="2005"/>
      <c r="O319" s="2005"/>
      <c r="P319" s="2005"/>
      <c r="Q319" s="2005"/>
      <c r="R319" s="2005"/>
      <c r="S319" s="2005"/>
      <c r="T319" s="2005"/>
      <c r="U319" s="2005"/>
      <c r="V319" s="2005"/>
      <c r="W319" s="2005"/>
      <c r="X319" s="2005"/>
      <c r="Y319" s="2005"/>
      <c r="Z319" s="2005"/>
      <c r="AA319" s="2005"/>
      <c r="AB319" s="2005"/>
      <c r="AC319" s="2005"/>
      <c r="AD319" s="2006"/>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07"/>
      <c r="J320" s="2007"/>
      <c r="K320" s="2007"/>
      <c r="L320" s="2007"/>
      <c r="M320" s="2007"/>
      <c r="N320" s="2007"/>
      <c r="O320" s="2007"/>
      <c r="P320" s="2007"/>
      <c r="Q320" s="2007"/>
      <c r="R320" s="2007"/>
      <c r="S320" s="2007"/>
      <c r="T320" s="2007"/>
      <c r="U320" s="2007"/>
      <c r="V320" s="2007"/>
      <c r="W320" s="2007"/>
      <c r="X320" s="2007"/>
      <c r="Y320" s="2007"/>
      <c r="Z320" s="2007"/>
      <c r="AA320" s="2007"/>
      <c r="AB320" s="2007"/>
      <c r="AC320" s="2007"/>
      <c r="AD320" s="2008"/>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70" t="s">
        <v>1503</v>
      </c>
      <c r="B322" s="1670"/>
      <c r="C322" s="1967" t="s">
        <v>600</v>
      </c>
      <c r="D322" s="1967"/>
      <c r="E322" s="581"/>
      <c r="F322" s="1895" t="s">
        <v>2342</v>
      </c>
      <c r="G322" s="1896"/>
      <c r="H322" s="1896"/>
      <c r="I322" s="1896"/>
      <c r="J322" s="1896"/>
      <c r="K322" s="1896"/>
      <c r="L322" s="1896"/>
      <c r="M322" s="1896"/>
      <c r="N322" s="1896"/>
      <c r="O322" s="1896"/>
      <c r="P322" s="1896"/>
      <c r="Q322" s="1896"/>
      <c r="R322" s="1896"/>
      <c r="S322" s="1896"/>
      <c r="T322" s="1896"/>
      <c r="U322" s="1896"/>
      <c r="V322" s="1896"/>
      <c r="W322" s="1896"/>
      <c r="X322" s="1896"/>
      <c r="Y322" s="1896"/>
      <c r="Z322" s="1896"/>
      <c r="AA322" s="1896"/>
      <c r="AB322" s="1896"/>
      <c r="AC322" s="1896"/>
      <c r="AD322" s="1897"/>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1901"/>
      <c r="G323" s="1902"/>
      <c r="H323" s="1902"/>
      <c r="I323" s="1902"/>
      <c r="J323" s="1902"/>
      <c r="K323" s="1902"/>
      <c r="L323" s="1902"/>
      <c r="M323" s="1902"/>
      <c r="N323" s="1902"/>
      <c r="O323" s="1902"/>
      <c r="P323" s="1902"/>
      <c r="Q323" s="1902"/>
      <c r="R323" s="1902"/>
      <c r="S323" s="1902"/>
      <c r="T323" s="1902"/>
      <c r="U323" s="1902"/>
      <c r="V323" s="1902"/>
      <c r="W323" s="1902"/>
      <c r="X323" s="1902"/>
      <c r="Y323" s="1902"/>
      <c r="Z323" s="1902"/>
      <c r="AA323" s="1902"/>
      <c r="AB323" s="1902"/>
      <c r="AC323" s="1902"/>
      <c r="AD323" s="1903"/>
      <c r="AE323" s="585"/>
      <c r="AF323" s="585"/>
      <c r="AG323" s="585"/>
      <c r="AH323" s="585"/>
      <c r="AI323" s="585"/>
      <c r="AJ323" s="584"/>
      <c r="AK323" s="584"/>
      <c r="AL323" s="584"/>
      <c r="AM323" s="584"/>
      <c r="AN323" s="73"/>
      <c r="AO323" s="14"/>
    </row>
    <row r="324" spans="1:44" ht="15" hidden="1" customHeight="1">
      <c r="A324" s="584"/>
      <c r="B324" s="585"/>
      <c r="C324" s="585"/>
      <c r="D324" s="585"/>
      <c r="E324" s="585"/>
      <c r="F324" s="1901"/>
      <c r="G324" s="1902"/>
      <c r="H324" s="1902"/>
      <c r="I324" s="1902"/>
      <c r="J324" s="1902"/>
      <c r="K324" s="1902"/>
      <c r="L324" s="1902"/>
      <c r="M324" s="1902"/>
      <c r="N324" s="1902"/>
      <c r="O324" s="1902"/>
      <c r="P324" s="1902"/>
      <c r="Q324" s="1902"/>
      <c r="R324" s="1902"/>
      <c r="S324" s="1902"/>
      <c r="T324" s="1902"/>
      <c r="U324" s="1902"/>
      <c r="V324" s="1902"/>
      <c r="W324" s="1902"/>
      <c r="X324" s="1902"/>
      <c r="Y324" s="1902"/>
      <c r="Z324" s="1902"/>
      <c r="AA324" s="1902"/>
      <c r="AB324" s="1902"/>
      <c r="AC324" s="1902"/>
      <c r="AD324" s="1903"/>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70">
        <f>IF(NOT(OR(Application!M355="Yes",Application!M356="Yes")),0,AP284)</f>
        <v>9</v>
      </c>
      <c r="AL327" s="1971"/>
      <c r="AM327" s="1972"/>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904" t="s">
        <v>1425</v>
      </c>
      <c r="AF330" s="1904"/>
      <c r="AG330" s="1904"/>
      <c r="AH330" s="1904"/>
      <c r="AI330" s="1904"/>
      <c r="AJ330" s="1904"/>
      <c r="AK330" s="190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9" t="s">
        <v>1565</v>
      </c>
      <c r="D332" s="2009"/>
      <c r="E332" s="2009"/>
      <c r="F332" s="2009"/>
      <c r="G332" s="2009"/>
      <c r="H332" s="2009"/>
      <c r="I332" s="2009"/>
      <c r="J332" s="2009"/>
      <c r="K332" s="2009"/>
      <c r="L332" s="2009"/>
      <c r="M332" s="2009"/>
      <c r="N332" s="2009"/>
      <c r="O332" s="2009"/>
      <c r="P332" s="2009"/>
      <c r="Q332" s="2009"/>
      <c r="R332" s="2009"/>
      <c r="S332" s="2009"/>
      <c r="T332" s="2009"/>
      <c r="U332" s="2009"/>
      <c r="V332" s="2009"/>
      <c r="W332" s="2009"/>
      <c r="X332" s="2009"/>
      <c r="Y332" s="2009"/>
      <c r="Z332" s="2009"/>
      <c r="AA332" s="2009"/>
      <c r="AB332" s="2009"/>
      <c r="AC332" s="2009"/>
      <c r="AD332" s="2009"/>
      <c r="AE332" s="2009"/>
      <c r="AF332" s="2009"/>
      <c r="AG332" s="2009"/>
      <c r="AH332" s="2009"/>
      <c r="AI332" s="2009"/>
      <c r="AJ332" s="2009"/>
      <c r="AK332" s="637"/>
      <c r="AL332" s="637"/>
      <c r="AM332" s="637"/>
      <c r="AN332" s="631"/>
    </row>
    <row r="333" spans="1:44" s="584" customFormat="1" ht="12.75" customHeight="1">
      <c r="A333" s="637"/>
      <c r="B333" s="645"/>
      <c r="C333" s="2009"/>
      <c r="D333" s="2009"/>
      <c r="E333" s="2009"/>
      <c r="F333" s="2009"/>
      <c r="G333" s="2009"/>
      <c r="H333" s="2009"/>
      <c r="I333" s="2009"/>
      <c r="J333" s="2009"/>
      <c r="K333" s="2009"/>
      <c r="L333" s="2009"/>
      <c r="M333" s="2009"/>
      <c r="N333" s="2009"/>
      <c r="O333" s="2009"/>
      <c r="P333" s="2009"/>
      <c r="Q333" s="2009"/>
      <c r="R333" s="2009"/>
      <c r="S333" s="2009"/>
      <c r="T333" s="2009"/>
      <c r="U333" s="2009"/>
      <c r="V333" s="2009"/>
      <c r="W333" s="2009"/>
      <c r="X333" s="2009"/>
      <c r="Y333" s="2009"/>
      <c r="Z333" s="2009"/>
      <c r="AA333" s="2009"/>
      <c r="AB333" s="2009"/>
      <c r="AC333" s="2009"/>
      <c r="AD333" s="2009"/>
      <c r="AE333" s="2009"/>
      <c r="AF333" s="2009"/>
      <c r="AG333" s="2009"/>
      <c r="AH333" s="2009"/>
      <c r="AI333" s="2009"/>
      <c r="AJ333" s="2009"/>
      <c r="AK333" s="637"/>
      <c r="AL333" s="637"/>
      <c r="AM333" s="637"/>
      <c r="AN333" s="631"/>
    </row>
    <row r="334" spans="1:44" s="584" customFormat="1" ht="12.75" customHeight="1">
      <c r="A334" s="637"/>
      <c r="B334" s="645"/>
      <c r="C334" s="2009"/>
      <c r="D334" s="2009"/>
      <c r="E334" s="2009"/>
      <c r="F334" s="2009"/>
      <c r="G334" s="2009"/>
      <c r="H334" s="2009"/>
      <c r="I334" s="2009"/>
      <c r="J334" s="2009"/>
      <c r="K334" s="2009"/>
      <c r="L334" s="2009"/>
      <c r="M334" s="2009"/>
      <c r="N334" s="2009"/>
      <c r="O334" s="2009"/>
      <c r="P334" s="2009"/>
      <c r="Q334" s="2009"/>
      <c r="R334" s="2009"/>
      <c r="S334" s="2009"/>
      <c r="T334" s="2009"/>
      <c r="U334" s="2009"/>
      <c r="V334" s="2009"/>
      <c r="W334" s="2009"/>
      <c r="X334" s="2009"/>
      <c r="Y334" s="2009"/>
      <c r="Z334" s="2009"/>
      <c r="AA334" s="2009"/>
      <c r="AB334" s="2009"/>
      <c r="AC334" s="2009"/>
      <c r="AD334" s="2009"/>
      <c r="AE334" s="2009"/>
      <c r="AF334" s="2009"/>
      <c r="AG334" s="2009"/>
      <c r="AH334" s="2009"/>
      <c r="AI334" s="2009"/>
      <c r="AJ334" s="2009"/>
      <c r="AK334" s="637"/>
      <c r="AL334" s="637"/>
      <c r="AM334" s="637"/>
      <c r="AN334" s="631"/>
      <c r="AQ334" s="604"/>
    </row>
    <row r="335" spans="1:44" s="584" customFormat="1" ht="12.75" customHeight="1">
      <c r="A335" s="637"/>
      <c r="B335" s="645"/>
      <c r="C335" s="2009"/>
      <c r="D335" s="2009"/>
      <c r="E335" s="2009"/>
      <c r="F335" s="2009"/>
      <c r="G335" s="2009"/>
      <c r="H335" s="2009"/>
      <c r="I335" s="2009"/>
      <c r="J335" s="2009"/>
      <c r="K335" s="2009"/>
      <c r="L335" s="2009"/>
      <c r="M335" s="2009"/>
      <c r="N335" s="2009"/>
      <c r="O335" s="2009"/>
      <c r="P335" s="2009"/>
      <c r="Q335" s="2009"/>
      <c r="R335" s="2009"/>
      <c r="S335" s="2009"/>
      <c r="T335" s="2009"/>
      <c r="U335" s="2009"/>
      <c r="V335" s="2009"/>
      <c r="W335" s="2009"/>
      <c r="X335" s="2009"/>
      <c r="Y335" s="2009"/>
      <c r="Z335" s="2009"/>
      <c r="AA335" s="2009"/>
      <c r="AB335" s="2009"/>
      <c r="AC335" s="2009"/>
      <c r="AD335" s="2009"/>
      <c r="AE335" s="2009"/>
      <c r="AF335" s="2009"/>
      <c r="AG335" s="2009"/>
      <c r="AH335" s="2009"/>
      <c r="AI335" s="2009"/>
      <c r="AJ335" s="2009"/>
      <c r="AK335" s="637"/>
      <c r="AL335" s="637"/>
      <c r="AM335" s="637"/>
      <c r="AN335" s="631"/>
      <c r="AQ335" s="604"/>
    </row>
    <row r="336" spans="1:44" s="584" customFormat="1" ht="12.4" customHeight="1">
      <c r="A336" s="637"/>
      <c r="B336" s="645"/>
      <c r="C336" s="2009"/>
      <c r="D336" s="2009"/>
      <c r="E336" s="2009"/>
      <c r="F336" s="2009"/>
      <c r="G336" s="2009"/>
      <c r="H336" s="2009"/>
      <c r="I336" s="2009"/>
      <c r="J336" s="2009"/>
      <c r="K336" s="2009"/>
      <c r="L336" s="2009"/>
      <c r="M336" s="2009"/>
      <c r="N336" s="2009"/>
      <c r="O336" s="2009"/>
      <c r="P336" s="2009"/>
      <c r="Q336" s="2009"/>
      <c r="R336" s="2009"/>
      <c r="S336" s="2009"/>
      <c r="T336" s="2009"/>
      <c r="U336" s="2009"/>
      <c r="V336" s="2009"/>
      <c r="W336" s="2009"/>
      <c r="X336" s="2009"/>
      <c r="Y336" s="2009"/>
      <c r="Z336" s="2009"/>
      <c r="AA336" s="2009"/>
      <c r="AB336" s="2009"/>
      <c r="AC336" s="2009"/>
      <c r="AD336" s="2009"/>
      <c r="AE336" s="2009"/>
      <c r="AF336" s="2009"/>
      <c r="AG336" s="2009"/>
      <c r="AH336" s="2009"/>
      <c r="AI336" s="2009"/>
      <c r="AJ336" s="2009"/>
      <c r="AK336" s="637"/>
      <c r="AL336" s="637"/>
      <c r="AM336" s="637"/>
      <c r="AN336" s="631"/>
      <c r="AQ336" s="604"/>
      <c r="AR336" s="604"/>
    </row>
    <row r="337" spans="1:46" s="584" customFormat="1" ht="45.75" customHeight="1">
      <c r="A337" s="637"/>
      <c r="B337" s="645"/>
      <c r="C337" s="2009" t="s">
        <v>2409</v>
      </c>
      <c r="D337" s="2009"/>
      <c r="E337" s="2009"/>
      <c r="F337" s="2009"/>
      <c r="G337" s="2009"/>
      <c r="H337" s="2009"/>
      <c r="I337" s="2009"/>
      <c r="J337" s="2009"/>
      <c r="K337" s="2009"/>
      <c r="L337" s="2009"/>
      <c r="M337" s="2009"/>
      <c r="N337" s="2009"/>
      <c r="O337" s="2009"/>
      <c r="P337" s="2009"/>
      <c r="Q337" s="2009"/>
      <c r="R337" s="2009"/>
      <c r="S337" s="2009"/>
      <c r="T337" s="2009"/>
      <c r="U337" s="2009"/>
      <c r="V337" s="2009"/>
      <c r="W337" s="2009"/>
      <c r="X337" s="2009"/>
      <c r="Y337" s="2009"/>
      <c r="Z337" s="2009"/>
      <c r="AA337" s="2009"/>
      <c r="AB337" s="2009"/>
      <c r="AC337" s="2009"/>
      <c r="AD337" s="2009"/>
      <c r="AE337" s="2009"/>
      <c r="AF337" s="2009"/>
      <c r="AG337" s="2009"/>
      <c r="AH337" s="2009"/>
      <c r="AI337" s="2009"/>
      <c r="AJ337" s="2009"/>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9" t="s">
        <v>2571</v>
      </c>
      <c r="D339" s="2009"/>
      <c r="E339" s="2009"/>
      <c r="F339" s="2009"/>
      <c r="G339" s="2009"/>
      <c r="H339" s="2009"/>
      <c r="I339" s="2009"/>
      <c r="J339" s="2009"/>
      <c r="K339" s="2009"/>
      <c r="L339" s="2009"/>
      <c r="M339" s="2009"/>
      <c r="N339" s="2009"/>
      <c r="O339" s="2009"/>
      <c r="P339" s="2009"/>
      <c r="Q339" s="2009"/>
      <c r="R339" s="2009"/>
      <c r="S339" s="2009"/>
      <c r="T339" s="2009"/>
      <c r="U339" s="2009"/>
      <c r="V339" s="2009"/>
      <c r="W339" s="2009"/>
      <c r="X339" s="2009"/>
      <c r="Y339" s="2009"/>
      <c r="Z339" s="2009"/>
      <c r="AA339" s="2009"/>
      <c r="AB339" s="2009"/>
      <c r="AC339" s="2009"/>
      <c r="AD339" s="2009"/>
      <c r="AE339" s="2009"/>
      <c r="AF339" s="2009"/>
      <c r="AG339" s="2009"/>
      <c r="AH339" s="2009"/>
      <c r="AI339" s="2009"/>
      <c r="AJ339" s="2009"/>
      <c r="AK339" s="637"/>
      <c r="AL339" s="637"/>
      <c r="AM339" s="637"/>
      <c r="AN339" s="631"/>
      <c r="AQ339" s="604"/>
      <c r="AR339" s="604"/>
    </row>
    <row r="340" spans="1:46" s="584" customFormat="1" ht="30" customHeight="1">
      <c r="A340" s="637"/>
      <c r="B340" s="645"/>
      <c r="C340" s="2009"/>
      <c r="D340" s="2009"/>
      <c r="E340" s="2009"/>
      <c r="F340" s="2009"/>
      <c r="G340" s="2009"/>
      <c r="H340" s="2009"/>
      <c r="I340" s="2009"/>
      <c r="J340" s="2009"/>
      <c r="K340" s="2009"/>
      <c r="L340" s="2009"/>
      <c r="M340" s="2009"/>
      <c r="N340" s="2009"/>
      <c r="O340" s="2009"/>
      <c r="P340" s="2009"/>
      <c r="Q340" s="2009"/>
      <c r="R340" s="2009"/>
      <c r="S340" s="2009"/>
      <c r="T340" s="2009"/>
      <c r="U340" s="2009"/>
      <c r="V340" s="2009"/>
      <c r="W340" s="2009"/>
      <c r="X340" s="2009"/>
      <c r="Y340" s="2009"/>
      <c r="Z340" s="2009"/>
      <c r="AA340" s="2009"/>
      <c r="AB340" s="2009"/>
      <c r="AC340" s="2009"/>
      <c r="AD340" s="2009"/>
      <c r="AE340" s="2009"/>
      <c r="AF340" s="2009"/>
      <c r="AG340" s="2009"/>
      <c r="AH340" s="2009"/>
      <c r="AI340" s="2009"/>
      <c r="AJ340" s="2009"/>
      <c r="AK340" s="637"/>
      <c r="AL340" s="637"/>
      <c r="AM340" s="637"/>
      <c r="AN340" s="631"/>
      <c r="AR340" s="604"/>
    </row>
    <row r="341" spans="1:46" s="584" customFormat="1" ht="12.75" customHeight="1">
      <c r="A341" s="637"/>
      <c r="B341" s="645"/>
      <c r="C341" s="2009"/>
      <c r="D341" s="2009"/>
      <c r="E341" s="2009"/>
      <c r="F341" s="2009"/>
      <c r="G341" s="2009"/>
      <c r="H341" s="2009"/>
      <c r="I341" s="2009"/>
      <c r="J341" s="2009"/>
      <c r="K341" s="2009"/>
      <c r="L341" s="2009"/>
      <c r="M341" s="2009"/>
      <c r="N341" s="2009"/>
      <c r="O341" s="2009"/>
      <c r="P341" s="2009"/>
      <c r="Q341" s="2009"/>
      <c r="R341" s="2009"/>
      <c r="S341" s="2009"/>
      <c r="T341" s="2009"/>
      <c r="U341" s="2009"/>
      <c r="V341" s="2009"/>
      <c r="W341" s="2009"/>
      <c r="X341" s="2009"/>
      <c r="Y341" s="2009"/>
      <c r="Z341" s="2009"/>
      <c r="AA341" s="2009"/>
      <c r="AB341" s="2009"/>
      <c r="AC341" s="2009"/>
      <c r="AD341" s="2009"/>
      <c r="AE341" s="2009"/>
      <c r="AF341" s="2009"/>
      <c r="AG341" s="2009"/>
      <c r="AH341" s="2009"/>
      <c r="AI341" s="2009"/>
      <c r="AJ341" s="2009"/>
      <c r="AK341" s="637"/>
      <c r="AL341" s="637"/>
      <c r="AM341" s="637"/>
      <c r="AN341" s="631"/>
      <c r="AR341" s="604"/>
    </row>
    <row r="342" spans="1:46" s="584" customFormat="1" ht="12.75" customHeight="1">
      <c r="A342" s="637"/>
      <c r="B342" s="645"/>
      <c r="C342" s="2009" t="s">
        <v>1566</v>
      </c>
      <c r="D342" s="2009"/>
      <c r="E342" s="2009"/>
      <c r="F342" s="2009"/>
      <c r="G342" s="2009"/>
      <c r="H342" s="2009"/>
      <c r="I342" s="2009"/>
      <c r="J342" s="2009"/>
      <c r="K342" s="2009"/>
      <c r="L342" s="2009"/>
      <c r="M342" s="2009"/>
      <c r="N342" s="2009"/>
      <c r="O342" s="2009"/>
      <c r="P342" s="2009"/>
      <c r="Q342" s="2009"/>
      <c r="R342" s="2009"/>
      <c r="S342" s="2009"/>
      <c r="T342" s="2009"/>
      <c r="U342" s="2009"/>
      <c r="V342" s="2009"/>
      <c r="W342" s="2009"/>
      <c r="X342" s="2009"/>
      <c r="Y342" s="2009"/>
      <c r="Z342" s="2009"/>
      <c r="AA342" s="2009"/>
      <c r="AB342" s="2009"/>
      <c r="AC342" s="2009"/>
      <c r="AD342" s="2009"/>
      <c r="AE342" s="2009"/>
      <c r="AF342" s="2009"/>
      <c r="AG342" s="2009"/>
      <c r="AH342" s="2009"/>
      <c r="AI342" s="2009"/>
      <c r="AJ342" s="2009"/>
      <c r="AK342" s="637"/>
      <c r="AL342" s="637"/>
      <c r="AM342" s="637"/>
      <c r="AN342" s="631"/>
      <c r="AQ342" s="604"/>
      <c r="AR342" s="604"/>
    </row>
    <row r="343" spans="1:46" s="584" customFormat="1" ht="12.75" customHeight="1">
      <c r="A343" s="637"/>
      <c r="B343" s="645"/>
      <c r="C343" s="2009"/>
      <c r="D343" s="2009"/>
      <c r="E343" s="2009"/>
      <c r="F343" s="2009"/>
      <c r="G343" s="2009"/>
      <c r="H343" s="2009"/>
      <c r="I343" s="2009"/>
      <c r="J343" s="2009"/>
      <c r="K343" s="2009"/>
      <c r="L343" s="2009"/>
      <c r="M343" s="2009"/>
      <c r="N343" s="2009"/>
      <c r="O343" s="2009"/>
      <c r="P343" s="2009"/>
      <c r="Q343" s="2009"/>
      <c r="R343" s="2009"/>
      <c r="S343" s="2009"/>
      <c r="T343" s="2009"/>
      <c r="U343" s="2009"/>
      <c r="V343" s="2009"/>
      <c r="W343" s="2009"/>
      <c r="X343" s="2009"/>
      <c r="Y343" s="2009"/>
      <c r="Z343" s="2009"/>
      <c r="AA343" s="2009"/>
      <c r="AB343" s="2009"/>
      <c r="AC343" s="2009"/>
      <c r="AD343" s="2009"/>
      <c r="AE343" s="2009"/>
      <c r="AF343" s="2009"/>
      <c r="AG343" s="2009"/>
      <c r="AH343" s="2009"/>
      <c r="AI343" s="2009"/>
      <c r="AJ343" s="2009"/>
      <c r="AK343" s="637"/>
      <c r="AL343" s="637"/>
      <c r="AM343" s="637"/>
      <c r="AN343" s="631"/>
      <c r="AQ343" s="604"/>
      <c r="AR343" s="604"/>
    </row>
    <row r="344" spans="1:46" s="584" customFormat="1" ht="13.15" customHeight="1">
      <c r="A344" s="637"/>
      <c r="B344" s="645"/>
      <c r="C344" s="2009"/>
      <c r="D344" s="2009"/>
      <c r="E344" s="2009"/>
      <c r="F344" s="2009"/>
      <c r="G344" s="2009"/>
      <c r="H344" s="2009"/>
      <c r="I344" s="2009"/>
      <c r="J344" s="2009"/>
      <c r="K344" s="2009"/>
      <c r="L344" s="2009"/>
      <c r="M344" s="2009"/>
      <c r="N344" s="2009"/>
      <c r="O344" s="2009"/>
      <c r="P344" s="2009"/>
      <c r="Q344" s="2009"/>
      <c r="R344" s="2009"/>
      <c r="S344" s="2009"/>
      <c r="T344" s="2009"/>
      <c r="U344" s="2009"/>
      <c r="V344" s="2009"/>
      <c r="W344" s="2009"/>
      <c r="X344" s="2009"/>
      <c r="Y344" s="2009"/>
      <c r="Z344" s="2009"/>
      <c r="AA344" s="2009"/>
      <c r="AB344" s="2009"/>
      <c r="AC344" s="2009"/>
      <c r="AD344" s="2009"/>
      <c r="AE344" s="2009"/>
      <c r="AF344" s="2009"/>
      <c r="AG344" s="2009"/>
      <c r="AH344" s="2009"/>
      <c r="AI344" s="2009"/>
      <c r="AJ344" s="2009"/>
      <c r="AK344" s="637"/>
      <c r="AL344" s="637"/>
      <c r="AM344" s="637"/>
      <c r="AN344" s="631"/>
      <c r="AQ344" s="604"/>
      <c r="AR344" s="604"/>
    </row>
    <row r="345" spans="1:46" s="584" customFormat="1" ht="12.75" customHeight="1">
      <c r="A345" s="637"/>
      <c r="B345" s="645"/>
      <c r="C345" s="2009"/>
      <c r="D345" s="2009"/>
      <c r="E345" s="2009"/>
      <c r="F345" s="2009"/>
      <c r="G345" s="2009"/>
      <c r="H345" s="2009"/>
      <c r="I345" s="2009"/>
      <c r="J345" s="2009"/>
      <c r="K345" s="2009"/>
      <c r="L345" s="2009"/>
      <c r="M345" s="2009"/>
      <c r="N345" s="2009"/>
      <c r="O345" s="2009"/>
      <c r="P345" s="2009"/>
      <c r="Q345" s="2009"/>
      <c r="R345" s="2009"/>
      <c r="S345" s="2009"/>
      <c r="T345" s="2009"/>
      <c r="U345" s="2009"/>
      <c r="V345" s="2009"/>
      <c r="W345" s="2009"/>
      <c r="X345" s="2009"/>
      <c r="Y345" s="2009"/>
      <c r="Z345" s="2009"/>
      <c r="AA345" s="2009"/>
      <c r="AB345" s="2009"/>
      <c r="AC345" s="2009"/>
      <c r="AD345" s="2009"/>
      <c r="AE345" s="2009"/>
      <c r="AF345" s="2009"/>
      <c r="AG345" s="2009"/>
      <c r="AH345" s="2009"/>
      <c r="AI345" s="2009"/>
      <c r="AJ345" s="2009"/>
      <c r="AK345" s="637"/>
      <c r="AL345" s="637"/>
      <c r="AM345" s="637"/>
      <c r="AN345" s="631"/>
      <c r="AO345" s="728"/>
      <c r="AP345" s="728"/>
      <c r="AQ345" s="604"/>
    </row>
    <row r="346" spans="1:46" s="584" customFormat="1" ht="11.9" customHeight="1">
      <c r="A346" s="637"/>
      <c r="B346" s="645"/>
      <c r="C346" s="2009"/>
      <c r="D346" s="2009"/>
      <c r="E346" s="2009"/>
      <c r="F346" s="2009"/>
      <c r="G346" s="2009"/>
      <c r="H346" s="2009"/>
      <c r="I346" s="2009"/>
      <c r="J346" s="2009"/>
      <c r="K346" s="2009"/>
      <c r="L346" s="2009"/>
      <c r="M346" s="2009"/>
      <c r="N346" s="2009"/>
      <c r="O346" s="2009"/>
      <c r="P346" s="2009"/>
      <c r="Q346" s="2009"/>
      <c r="R346" s="2009"/>
      <c r="S346" s="2009"/>
      <c r="T346" s="2009"/>
      <c r="U346" s="2009"/>
      <c r="V346" s="2009"/>
      <c r="W346" s="2009"/>
      <c r="X346" s="2009"/>
      <c r="Y346" s="2009"/>
      <c r="Z346" s="2009"/>
      <c r="AA346" s="2009"/>
      <c r="AB346" s="2009"/>
      <c r="AC346" s="2009"/>
      <c r="AD346" s="2009"/>
      <c r="AE346" s="2009"/>
      <c r="AF346" s="2009"/>
      <c r="AG346" s="2009"/>
      <c r="AH346" s="2009"/>
      <c r="AI346" s="2009"/>
      <c r="AJ346" s="2009"/>
      <c r="AK346" s="637"/>
      <c r="AL346" s="637"/>
      <c r="AM346" s="637"/>
      <c r="AN346" s="631"/>
      <c r="AO346" s="729" t="s">
        <v>112</v>
      </c>
      <c r="AP346" s="730">
        <f>IF(C370="Yes",5,0)</f>
        <v>0</v>
      </c>
      <c r="AS346" s="573" t="s">
        <v>1567</v>
      </c>
    </row>
    <row r="347" spans="1:46" s="584" customFormat="1" ht="12.75" customHeight="1">
      <c r="A347" s="637"/>
      <c r="B347" s="645"/>
      <c r="C347" s="2009"/>
      <c r="D347" s="2009"/>
      <c r="E347" s="2009"/>
      <c r="F347" s="2009"/>
      <c r="G347" s="2009"/>
      <c r="H347" s="2009"/>
      <c r="I347" s="2009"/>
      <c r="J347" s="2009"/>
      <c r="K347" s="2009"/>
      <c r="L347" s="2009"/>
      <c r="M347" s="2009"/>
      <c r="N347" s="2009"/>
      <c r="O347" s="2009"/>
      <c r="P347" s="2009"/>
      <c r="Q347" s="2009"/>
      <c r="R347" s="2009"/>
      <c r="S347" s="2009"/>
      <c r="T347" s="2009"/>
      <c r="U347" s="2009"/>
      <c r="V347" s="2009"/>
      <c r="W347" s="2009"/>
      <c r="X347" s="2009"/>
      <c r="Y347" s="2009"/>
      <c r="Z347" s="2009"/>
      <c r="AA347" s="2009"/>
      <c r="AB347" s="2009"/>
      <c r="AC347" s="2009"/>
      <c r="AD347" s="2009"/>
      <c r="AE347" s="2009"/>
      <c r="AF347" s="2009"/>
      <c r="AG347" s="2009"/>
      <c r="AH347" s="2009"/>
      <c r="AI347" s="2009"/>
      <c r="AJ347" s="2009"/>
      <c r="AK347" s="637"/>
      <c r="AL347" s="637"/>
      <c r="AM347" s="637"/>
      <c r="AN347" s="631"/>
      <c r="AO347" s="729" t="s">
        <v>113</v>
      </c>
      <c r="AP347" s="730">
        <f>IF(C378="Yes",5,0)</f>
        <v>0</v>
      </c>
      <c r="AS347" s="2030">
        <f>IF(Application!D211="Non-Targeted",(SUM(AQ355+AQ364)),AS351)</f>
        <v>12</v>
      </c>
      <c r="AT347" s="2030"/>
    </row>
    <row r="348" spans="1:46" s="584" customFormat="1" ht="12.75" customHeight="1">
      <c r="A348" s="637"/>
      <c r="B348" s="645"/>
      <c r="C348" s="2009"/>
      <c r="D348" s="2009"/>
      <c r="E348" s="2009"/>
      <c r="F348" s="2009"/>
      <c r="G348" s="2009"/>
      <c r="H348" s="2009"/>
      <c r="I348" s="2009"/>
      <c r="J348" s="2009"/>
      <c r="K348" s="2009"/>
      <c r="L348" s="2009"/>
      <c r="M348" s="2009"/>
      <c r="N348" s="2009"/>
      <c r="O348" s="2009"/>
      <c r="P348" s="2009"/>
      <c r="Q348" s="2009"/>
      <c r="R348" s="2009"/>
      <c r="S348" s="2009"/>
      <c r="T348" s="2009"/>
      <c r="U348" s="2009"/>
      <c r="V348" s="2009"/>
      <c r="W348" s="2009"/>
      <c r="X348" s="2009"/>
      <c r="Y348" s="2009"/>
      <c r="Z348" s="2009"/>
      <c r="AA348" s="2009"/>
      <c r="AB348" s="2009"/>
      <c r="AC348" s="2009"/>
      <c r="AD348" s="2009"/>
      <c r="AE348" s="2009"/>
      <c r="AF348" s="2009"/>
      <c r="AG348" s="2009"/>
      <c r="AH348" s="2009"/>
      <c r="AI348" s="2009"/>
      <c r="AJ348" s="2009"/>
      <c r="AK348" s="637"/>
      <c r="AL348" s="637"/>
      <c r="AM348" s="637"/>
      <c r="AN348" s="631"/>
      <c r="AO348" s="729" t="s">
        <v>119</v>
      </c>
      <c r="AP348" s="730">
        <f>IF(C386="Yes",7,0)</f>
        <v>7</v>
      </c>
      <c r="AS348" s="573" t="s">
        <v>1568</v>
      </c>
    </row>
    <row r="349" spans="1:46" s="584" customFormat="1" ht="12.75" customHeight="1">
      <c r="A349" s="637"/>
      <c r="B349" s="645"/>
      <c r="C349" s="2009"/>
      <c r="D349" s="2009"/>
      <c r="E349" s="2009"/>
      <c r="F349" s="2009"/>
      <c r="G349" s="2009"/>
      <c r="H349" s="2009"/>
      <c r="I349" s="2009"/>
      <c r="J349" s="2009"/>
      <c r="K349" s="2009"/>
      <c r="L349" s="2009"/>
      <c r="M349" s="2009"/>
      <c r="N349" s="2009"/>
      <c r="O349" s="2009"/>
      <c r="P349" s="2009"/>
      <c r="Q349" s="2009"/>
      <c r="R349" s="2009"/>
      <c r="S349" s="2009"/>
      <c r="T349" s="2009"/>
      <c r="U349" s="2009"/>
      <c r="V349" s="2009"/>
      <c r="W349" s="2009"/>
      <c r="X349" s="2009"/>
      <c r="Y349" s="2009"/>
      <c r="Z349" s="2009"/>
      <c r="AA349" s="2009"/>
      <c r="AB349" s="2009"/>
      <c r="AC349" s="2009"/>
      <c r="AD349" s="2009"/>
      <c r="AE349" s="2009"/>
      <c r="AF349" s="2009"/>
      <c r="AG349" s="2009"/>
      <c r="AH349" s="2009"/>
      <c r="AI349" s="2009"/>
      <c r="AJ349" s="2009"/>
      <c r="AK349" s="637"/>
      <c r="AL349" s="637"/>
      <c r="AM349" s="637"/>
      <c r="AN349" s="631"/>
      <c r="AO349" s="631"/>
      <c r="AP349" s="730">
        <f>IF(C388="Yes",5,0)</f>
        <v>0</v>
      </c>
      <c r="AS349" s="2030">
        <f>IF(AND(AQ355&gt;0,AQ364&gt;0),(AQ355+AQ364)/2,0)</f>
        <v>0</v>
      </c>
      <c r="AT349" s="2030"/>
    </row>
    <row r="350" spans="1:46" s="584" customFormat="1" ht="12.75" customHeight="1">
      <c r="A350" s="637"/>
      <c r="B350" s="645"/>
      <c r="C350" s="2009"/>
      <c r="D350" s="2009"/>
      <c r="E350" s="2009"/>
      <c r="F350" s="2009"/>
      <c r="G350" s="2009"/>
      <c r="H350" s="2009"/>
      <c r="I350" s="2009"/>
      <c r="J350" s="2009"/>
      <c r="K350" s="2009"/>
      <c r="L350" s="2009"/>
      <c r="M350" s="2009"/>
      <c r="N350" s="2009"/>
      <c r="O350" s="2009"/>
      <c r="P350" s="2009"/>
      <c r="Q350" s="2009"/>
      <c r="R350" s="2009"/>
      <c r="S350" s="2009"/>
      <c r="T350" s="2009"/>
      <c r="U350" s="2009"/>
      <c r="V350" s="2009"/>
      <c r="W350" s="2009"/>
      <c r="X350" s="2009"/>
      <c r="Y350" s="2009"/>
      <c r="Z350" s="2009"/>
      <c r="AA350" s="2009"/>
      <c r="AB350" s="2009"/>
      <c r="AC350" s="2009"/>
      <c r="AD350" s="2009"/>
      <c r="AE350" s="2009"/>
      <c r="AF350" s="2009"/>
      <c r="AG350" s="2009"/>
      <c r="AH350" s="2009"/>
      <c r="AI350" s="2009"/>
      <c r="AJ350" s="2009"/>
      <c r="AK350" s="637"/>
      <c r="AL350" s="637"/>
      <c r="AM350" s="637"/>
      <c r="AN350" s="631"/>
      <c r="AO350" s="729" t="s">
        <v>590</v>
      </c>
      <c r="AP350" s="730">
        <f>IF(C396="Yes",5,0)</f>
        <v>5</v>
      </c>
      <c r="AS350" s="573" t="s">
        <v>2070</v>
      </c>
    </row>
    <row r="351" spans="1:46" s="584" customFormat="1" ht="12.75" customHeight="1">
      <c r="A351" s="637"/>
      <c r="B351" s="645"/>
      <c r="C351" s="2031" t="s">
        <v>1569</v>
      </c>
      <c r="D351" s="2031"/>
      <c r="E351" s="2031"/>
      <c r="F351" s="2031"/>
      <c r="G351" s="2031"/>
      <c r="H351" s="2031"/>
      <c r="I351" s="2031"/>
      <c r="J351" s="2031"/>
      <c r="K351" s="2031"/>
      <c r="L351" s="2031"/>
      <c r="M351" s="2031"/>
      <c r="N351" s="2031"/>
      <c r="O351" s="2031"/>
      <c r="P351" s="2031"/>
      <c r="Q351" s="2031"/>
      <c r="R351" s="2031"/>
      <c r="S351" s="2031"/>
      <c r="T351" s="2031"/>
      <c r="U351" s="2031"/>
      <c r="V351" s="2031"/>
      <c r="W351" s="2031"/>
      <c r="X351" s="2031"/>
      <c r="Y351" s="2031"/>
      <c r="Z351" s="2031"/>
      <c r="AA351" s="2031"/>
      <c r="AB351" s="2031"/>
      <c r="AC351" s="2031"/>
      <c r="AD351" s="2031"/>
      <c r="AE351" s="2031"/>
      <c r="AF351" s="2031"/>
      <c r="AG351" s="2031"/>
      <c r="AH351" s="2031"/>
      <c r="AI351" s="2031"/>
      <c r="AJ351" s="2031"/>
      <c r="AK351" s="637"/>
      <c r="AL351" s="637"/>
      <c r="AM351" s="637"/>
      <c r="AN351" s="631"/>
      <c r="AO351" s="631"/>
      <c r="AP351" s="730">
        <f>IF(C398="Yes",3,0)</f>
        <v>0</v>
      </c>
      <c r="AS351" s="2030">
        <f>IF(AQ355=0,AQ364,AQ355)</f>
        <v>12</v>
      </c>
      <c r="AT351" s="2030"/>
    </row>
    <row r="352" spans="1:46" s="584" customFormat="1" ht="12.75" customHeight="1">
      <c r="A352" s="637"/>
      <c r="B352" s="645"/>
      <c r="C352" s="2031"/>
      <c r="D352" s="2031"/>
      <c r="E352" s="2031"/>
      <c r="F352" s="2031"/>
      <c r="G352" s="2031"/>
      <c r="H352" s="2031"/>
      <c r="I352" s="2031"/>
      <c r="J352" s="2031"/>
      <c r="K352" s="2031"/>
      <c r="L352" s="2031"/>
      <c r="M352" s="2031"/>
      <c r="N352" s="2031"/>
      <c r="O352" s="2031"/>
      <c r="P352" s="2031"/>
      <c r="Q352" s="2031"/>
      <c r="R352" s="2031"/>
      <c r="S352" s="2031"/>
      <c r="T352" s="2031"/>
      <c r="U352" s="2031"/>
      <c r="V352" s="2031"/>
      <c r="W352" s="2031"/>
      <c r="X352" s="2031"/>
      <c r="Y352" s="2031"/>
      <c r="Z352" s="2031"/>
      <c r="AA352" s="2031"/>
      <c r="AB352" s="2031"/>
      <c r="AC352" s="2031"/>
      <c r="AD352" s="2031"/>
      <c r="AE352" s="2031"/>
      <c r="AF352" s="2031"/>
      <c r="AG352" s="2031"/>
      <c r="AH352" s="2031"/>
      <c r="AI352" s="2031"/>
      <c r="AJ352" s="2031"/>
      <c r="AK352" s="637"/>
      <c r="AL352" s="637"/>
      <c r="AM352" s="637"/>
      <c r="AN352" s="631"/>
      <c r="AO352" s="729" t="s">
        <v>773</v>
      </c>
      <c r="AP352" s="730">
        <f>IF(C401="Yes",5,0)</f>
        <v>0</v>
      </c>
    </row>
    <row r="353" spans="1:81" s="584" customFormat="1" ht="12.75" customHeight="1">
      <c r="A353" s="637"/>
      <c r="B353" s="645"/>
      <c r="C353" s="2031"/>
      <c r="D353" s="2031"/>
      <c r="E353" s="2031"/>
      <c r="F353" s="2031"/>
      <c r="G353" s="2031"/>
      <c r="H353" s="2031"/>
      <c r="I353" s="2031"/>
      <c r="J353" s="2031"/>
      <c r="K353" s="2031"/>
      <c r="L353" s="2031"/>
      <c r="M353" s="2031"/>
      <c r="N353" s="2031"/>
      <c r="O353" s="2031"/>
      <c r="P353" s="2031"/>
      <c r="Q353" s="2031"/>
      <c r="R353" s="2031"/>
      <c r="S353" s="2031"/>
      <c r="T353" s="2031"/>
      <c r="U353" s="2031"/>
      <c r="V353" s="2031"/>
      <c r="W353" s="2031"/>
      <c r="X353" s="2031"/>
      <c r="Y353" s="2031"/>
      <c r="Z353" s="2031"/>
      <c r="AA353" s="2031"/>
      <c r="AB353" s="2031"/>
      <c r="AC353" s="2031"/>
      <c r="AD353" s="2031"/>
      <c r="AE353" s="2031"/>
      <c r="AF353" s="2031"/>
      <c r="AG353" s="2031"/>
      <c r="AH353" s="2031"/>
      <c r="AI353" s="2031"/>
      <c r="AJ353" s="2031"/>
      <c r="AK353" s="637"/>
      <c r="AL353" s="637"/>
      <c r="AM353" s="637"/>
      <c r="AN353" s="631"/>
      <c r="AO353" s="729" t="s">
        <v>593</v>
      </c>
      <c r="AP353" s="730">
        <f>IF(C410="Yes",5,0)</f>
        <v>0</v>
      </c>
    </row>
    <row r="354" spans="1:81" s="584" customFormat="1" ht="11.9" customHeight="1">
      <c r="A354" s="637"/>
      <c r="B354" s="645"/>
      <c r="C354" s="2031"/>
      <c r="D354" s="2031"/>
      <c r="E354" s="2031"/>
      <c r="F354" s="2031"/>
      <c r="G354" s="2031"/>
      <c r="H354" s="2031"/>
      <c r="I354" s="2031"/>
      <c r="J354" s="2031"/>
      <c r="K354" s="2031"/>
      <c r="L354" s="2031"/>
      <c r="M354" s="2031"/>
      <c r="N354" s="2031"/>
      <c r="O354" s="2031"/>
      <c r="P354" s="2031"/>
      <c r="Q354" s="2031"/>
      <c r="R354" s="2031"/>
      <c r="S354" s="2031"/>
      <c r="T354" s="2031"/>
      <c r="U354" s="2031"/>
      <c r="V354" s="2031"/>
      <c r="W354" s="2031"/>
      <c r="X354" s="2031"/>
      <c r="Y354" s="2031"/>
      <c r="Z354" s="2031"/>
      <c r="AA354" s="2031"/>
      <c r="AB354" s="2031"/>
      <c r="AC354" s="2031"/>
      <c r="AD354" s="2031"/>
      <c r="AE354" s="2031"/>
      <c r="AF354" s="2031"/>
      <c r="AG354" s="2031"/>
      <c r="AH354" s="2031"/>
      <c r="AI354" s="2031"/>
      <c r="AJ354" s="2031"/>
      <c r="AK354" s="637"/>
      <c r="AL354" s="637"/>
      <c r="AM354" s="637"/>
      <c r="AN354" s="631"/>
      <c r="AO354" s="731"/>
      <c r="AP354" s="732">
        <f>IF(C412="Yes",3,0)</f>
        <v>0</v>
      </c>
    </row>
    <row r="355" spans="1:81" s="584" customFormat="1" ht="12.4" customHeight="1">
      <c r="A355" s="637"/>
      <c r="B355" s="645"/>
      <c r="C355" s="2031"/>
      <c r="D355" s="2031"/>
      <c r="E355" s="2031"/>
      <c r="F355" s="2031"/>
      <c r="G355" s="2031"/>
      <c r="H355" s="2031"/>
      <c r="I355" s="2031"/>
      <c r="J355" s="2031"/>
      <c r="K355" s="2031"/>
      <c r="L355" s="2031"/>
      <c r="M355" s="2031"/>
      <c r="N355" s="2031"/>
      <c r="O355" s="2031"/>
      <c r="P355" s="2031"/>
      <c r="Q355" s="2031"/>
      <c r="R355" s="2031"/>
      <c r="S355" s="2031"/>
      <c r="T355" s="2031"/>
      <c r="U355" s="2031"/>
      <c r="V355" s="2031"/>
      <c r="W355" s="2031"/>
      <c r="X355" s="2031"/>
      <c r="Y355" s="2031"/>
      <c r="Z355" s="2031"/>
      <c r="AA355" s="2031"/>
      <c r="AB355" s="2031"/>
      <c r="AC355" s="2031"/>
      <c r="AD355" s="2031"/>
      <c r="AE355" s="2031"/>
      <c r="AF355" s="2031"/>
      <c r="AG355" s="2031"/>
      <c r="AH355" s="2031"/>
      <c r="AI355" s="2031"/>
      <c r="AJ355" s="2031"/>
      <c r="AK355" s="637"/>
      <c r="AL355" s="637"/>
      <c r="AM355" s="637"/>
      <c r="AN355" s="631"/>
      <c r="AO355" s="733" t="s">
        <v>228</v>
      </c>
      <c r="AP355" s="734">
        <f>SUM(AP346:AP354)</f>
        <v>12</v>
      </c>
      <c r="AQ355" s="2032">
        <f>IF(AP355&gt;0,AP355,0)</f>
        <v>12</v>
      </c>
      <c r="AR355" s="2032"/>
    </row>
    <row r="356" spans="1:81" s="584" customFormat="1" ht="12.75" customHeight="1">
      <c r="A356" s="637"/>
      <c r="B356" s="645"/>
      <c r="C356" s="2031"/>
      <c r="D356" s="2031"/>
      <c r="E356" s="2031"/>
      <c r="F356" s="2031"/>
      <c r="G356" s="2031"/>
      <c r="H356" s="2031"/>
      <c r="I356" s="2031"/>
      <c r="J356" s="2031"/>
      <c r="K356" s="2031"/>
      <c r="L356" s="2031"/>
      <c r="M356" s="2031"/>
      <c r="N356" s="2031"/>
      <c r="O356" s="2031"/>
      <c r="P356" s="2031"/>
      <c r="Q356" s="2031"/>
      <c r="R356" s="2031"/>
      <c r="S356" s="2031"/>
      <c r="T356" s="2031"/>
      <c r="U356" s="2031"/>
      <c r="V356" s="2031"/>
      <c r="W356" s="2031"/>
      <c r="X356" s="2031"/>
      <c r="Y356" s="2031"/>
      <c r="Z356" s="2031"/>
      <c r="AA356" s="2031"/>
      <c r="AB356" s="2031"/>
      <c r="AC356" s="2031"/>
      <c r="AD356" s="2031"/>
      <c r="AE356" s="2031"/>
      <c r="AF356" s="2031"/>
      <c r="AG356" s="2031"/>
      <c r="AH356" s="2031"/>
      <c r="AI356" s="2031"/>
      <c r="AJ356" s="203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9" t="s">
        <v>1570</v>
      </c>
      <c r="D358" s="2009"/>
      <c r="E358" s="2009"/>
      <c r="F358" s="2009"/>
      <c r="G358" s="2009"/>
      <c r="H358" s="2009"/>
      <c r="I358" s="2009"/>
      <c r="J358" s="2009"/>
      <c r="K358" s="2009"/>
      <c r="L358" s="2009"/>
      <c r="M358" s="2009"/>
      <c r="N358" s="2009"/>
      <c r="O358" s="2009"/>
      <c r="P358" s="2009"/>
      <c r="Q358" s="2009"/>
      <c r="R358" s="2009"/>
      <c r="S358" s="2009"/>
      <c r="T358" s="2009"/>
      <c r="U358" s="2009"/>
      <c r="V358" s="2009"/>
      <c r="W358" s="2009"/>
      <c r="X358" s="2009"/>
      <c r="Y358" s="2009"/>
      <c r="Z358" s="2009"/>
      <c r="AA358" s="2009"/>
      <c r="AB358" s="2009"/>
      <c r="AC358" s="2009"/>
      <c r="AD358" s="2009"/>
      <c r="AE358" s="2009"/>
      <c r="AF358" s="2009"/>
      <c r="AG358" s="2009"/>
      <c r="AH358" s="2009"/>
      <c r="AI358" s="2009"/>
      <c r="AJ358" s="2009"/>
      <c r="AK358" s="637"/>
      <c r="AL358" s="637"/>
      <c r="AM358" s="637"/>
      <c r="AN358" s="631"/>
      <c r="AO358" s="729" t="s">
        <v>465</v>
      </c>
      <c r="AP358" s="730">
        <f>IF(C431="Yes",5,0)</f>
        <v>0</v>
      </c>
    </row>
    <row r="359" spans="1:81" s="584" customFormat="1" ht="12.75" customHeight="1">
      <c r="A359" s="637"/>
      <c r="B359" s="645"/>
      <c r="C359" s="2009"/>
      <c r="D359" s="2009"/>
      <c r="E359" s="2009"/>
      <c r="F359" s="2009"/>
      <c r="G359" s="2009"/>
      <c r="H359" s="2009"/>
      <c r="I359" s="2009"/>
      <c r="J359" s="2009"/>
      <c r="K359" s="2009"/>
      <c r="L359" s="2009"/>
      <c r="M359" s="2009"/>
      <c r="N359" s="2009"/>
      <c r="O359" s="2009"/>
      <c r="P359" s="2009"/>
      <c r="Q359" s="2009"/>
      <c r="R359" s="2009"/>
      <c r="S359" s="2009"/>
      <c r="T359" s="2009"/>
      <c r="U359" s="2009"/>
      <c r="V359" s="2009"/>
      <c r="W359" s="2009"/>
      <c r="X359" s="2009"/>
      <c r="Y359" s="2009"/>
      <c r="Z359" s="2009"/>
      <c r="AA359" s="2009"/>
      <c r="AB359" s="2009"/>
      <c r="AC359" s="2009"/>
      <c r="AD359" s="2009"/>
      <c r="AE359" s="2009"/>
      <c r="AF359" s="2009"/>
      <c r="AG359" s="2009"/>
      <c r="AH359" s="2009"/>
      <c r="AI359" s="2009"/>
      <c r="AJ359" s="2009"/>
      <c r="AK359" s="637"/>
      <c r="AL359" s="637"/>
      <c r="AM359" s="637"/>
      <c r="AN359" s="631"/>
      <c r="AO359" s="729" t="s">
        <v>470</v>
      </c>
      <c r="AP359" s="730">
        <f>IF(C438="Yes",5,0)</f>
        <v>0</v>
      </c>
    </row>
    <row r="360" spans="1:81" s="584" customFormat="1" ht="68.150000000000006" customHeight="1">
      <c r="A360" s="637"/>
      <c r="B360" s="645"/>
      <c r="C360" s="2009"/>
      <c r="D360" s="2009"/>
      <c r="E360" s="2009"/>
      <c r="F360" s="2009"/>
      <c r="G360" s="2009"/>
      <c r="H360" s="2009"/>
      <c r="I360" s="2009"/>
      <c r="J360" s="2009"/>
      <c r="K360" s="2009"/>
      <c r="L360" s="2009"/>
      <c r="M360" s="2009"/>
      <c r="N360" s="2009"/>
      <c r="O360" s="2009"/>
      <c r="P360" s="2009"/>
      <c r="Q360" s="2009"/>
      <c r="R360" s="2009"/>
      <c r="S360" s="2009"/>
      <c r="T360" s="2009"/>
      <c r="U360" s="2009"/>
      <c r="V360" s="2009"/>
      <c r="W360" s="2009"/>
      <c r="X360" s="2009"/>
      <c r="Y360" s="2009"/>
      <c r="Z360" s="2009"/>
      <c r="AA360" s="2009"/>
      <c r="AB360" s="2009"/>
      <c r="AC360" s="2009"/>
      <c r="AD360" s="2009"/>
      <c r="AE360" s="2009"/>
      <c r="AF360" s="2009"/>
      <c r="AG360" s="2009"/>
      <c r="AH360" s="2009"/>
      <c r="AI360" s="2009"/>
      <c r="AJ360" s="2009"/>
      <c r="AK360" s="637"/>
      <c r="AL360" s="637"/>
      <c r="AM360" s="637"/>
      <c r="AN360" s="631"/>
      <c r="AO360" s="729" t="s">
        <v>655</v>
      </c>
      <c r="AP360" s="735">
        <f>IF(C442="Yes",5,0)</f>
        <v>0</v>
      </c>
    </row>
    <row r="361" spans="1:81" s="584" customFormat="1" ht="12.4"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2118">
        <f>Application!CS660-U363</f>
        <v>177</v>
      </c>
      <c r="V362" s="2118"/>
      <c r="W362" s="2118"/>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2119">
        <f>IF(Application!D211="SRO",Application!CS634,Application!AG756)</f>
        <v>0</v>
      </c>
      <c r="V363" s="2119"/>
      <c r="W363" s="211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32">
        <f>IF(AP364&gt;0,AP364,0)</f>
        <v>0</v>
      </c>
      <c r="AR364" s="2032"/>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2013" t="s">
        <v>1572</v>
      </c>
      <c r="G366" s="2013"/>
      <c r="H366" s="2013"/>
      <c r="I366" s="2013"/>
      <c r="J366" s="2013"/>
      <c r="K366" s="2013"/>
      <c r="L366" s="2013"/>
      <c r="M366" s="2013"/>
      <c r="N366" s="2013"/>
      <c r="O366" s="2013"/>
      <c r="P366" s="2013"/>
      <c r="Q366" s="2013"/>
      <c r="R366" s="2013"/>
      <c r="S366" s="2013"/>
      <c r="T366" s="2013"/>
      <c r="U366" s="2013"/>
      <c r="V366" s="2013"/>
      <c r="W366" s="2013"/>
      <c r="X366" s="2013"/>
      <c r="Y366" s="2013"/>
      <c r="Z366" s="2013"/>
      <c r="AA366" s="2013"/>
      <c r="AB366" s="2013"/>
      <c r="AC366" s="2013"/>
      <c r="AD366" s="2013"/>
      <c r="AE366" s="2013"/>
      <c r="AF366" s="201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4"/>
      <c r="G367" s="2014"/>
      <c r="H367" s="2014"/>
      <c r="I367" s="2014"/>
      <c r="J367" s="2014"/>
      <c r="K367" s="2014"/>
      <c r="L367" s="2014"/>
      <c r="M367" s="2014"/>
      <c r="N367" s="2014"/>
      <c r="O367" s="2014"/>
      <c r="P367" s="2014"/>
      <c r="Q367" s="2014"/>
      <c r="R367" s="2014"/>
      <c r="S367" s="2014"/>
      <c r="T367" s="2014"/>
      <c r="U367" s="2014"/>
      <c r="V367" s="2014"/>
      <c r="W367" s="2014"/>
      <c r="X367" s="2014"/>
      <c r="Y367" s="2014"/>
      <c r="Z367" s="2014"/>
      <c r="AA367" s="2014"/>
      <c r="AB367" s="2014"/>
      <c r="AC367" s="2014"/>
      <c r="AD367" s="2014"/>
      <c r="AE367" s="2014"/>
      <c r="AF367" s="201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4"/>
      <c r="G368" s="2014"/>
      <c r="H368" s="2014"/>
      <c r="I368" s="2014"/>
      <c r="J368" s="2014"/>
      <c r="K368" s="2014"/>
      <c r="L368" s="2014"/>
      <c r="M368" s="2014"/>
      <c r="N368" s="2014"/>
      <c r="O368" s="2014"/>
      <c r="P368" s="2014"/>
      <c r="Q368" s="2014"/>
      <c r="R368" s="2014"/>
      <c r="S368" s="2014"/>
      <c r="T368" s="2014"/>
      <c r="U368" s="2014"/>
      <c r="V368" s="2014"/>
      <c r="W368" s="2014"/>
      <c r="X368" s="2014"/>
      <c r="Y368" s="2014"/>
      <c r="Z368" s="2014"/>
      <c r="AA368" s="2014"/>
      <c r="AB368" s="2014"/>
      <c r="AC368" s="2014"/>
      <c r="AD368" s="2014"/>
      <c r="AE368" s="2014"/>
      <c r="AF368" s="201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4"/>
      <c r="G369" s="2014"/>
      <c r="H369" s="2014"/>
      <c r="I369" s="2014"/>
      <c r="J369" s="2014"/>
      <c r="K369" s="2014"/>
      <c r="L369" s="2014"/>
      <c r="M369" s="2014"/>
      <c r="N369" s="2014"/>
      <c r="O369" s="2014"/>
      <c r="P369" s="2014"/>
      <c r="Q369" s="2014"/>
      <c r="R369" s="2014"/>
      <c r="S369" s="2014"/>
      <c r="T369" s="2014"/>
      <c r="U369" s="2014"/>
      <c r="V369" s="2014"/>
      <c r="W369" s="2014"/>
      <c r="X369" s="2014"/>
      <c r="Y369" s="2014"/>
      <c r="Z369" s="2014"/>
      <c r="AA369" s="2014"/>
      <c r="AB369" s="2014"/>
      <c r="AC369" s="2014"/>
      <c r="AD369" s="2014"/>
      <c r="AE369" s="2014"/>
      <c r="AF369" s="201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0" t="s">
        <v>600</v>
      </c>
      <c r="D370" s="1967"/>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1" t="s">
        <v>1574</v>
      </c>
      <c r="AG370" s="2011"/>
      <c r="AH370" s="2011"/>
      <c r="AI370" s="2011"/>
      <c r="AJ370" s="2011"/>
      <c r="AK370" s="2011"/>
      <c r="AL370" s="2012"/>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2013" t="s">
        <v>1575</v>
      </c>
      <c r="G373" s="2013"/>
      <c r="H373" s="2013"/>
      <c r="I373" s="2013"/>
      <c r="J373" s="2013"/>
      <c r="K373" s="2013"/>
      <c r="L373" s="2013"/>
      <c r="M373" s="2013"/>
      <c r="N373" s="2013"/>
      <c r="O373" s="2013"/>
      <c r="P373" s="2013"/>
      <c r="Q373" s="2013"/>
      <c r="R373" s="2013"/>
      <c r="S373" s="2013"/>
      <c r="T373" s="2013"/>
      <c r="U373" s="2013"/>
      <c r="V373" s="2013"/>
      <c r="W373" s="2013"/>
      <c r="X373" s="2013"/>
      <c r="Y373" s="2013"/>
      <c r="Z373" s="2013"/>
      <c r="AA373" s="2013"/>
      <c r="AB373" s="2013"/>
      <c r="AC373" s="2013"/>
      <c r="AD373" s="2013"/>
      <c r="AE373" s="2013"/>
      <c r="AF373" s="201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4"/>
      <c r="G374" s="2014"/>
      <c r="H374" s="2014"/>
      <c r="I374" s="2014"/>
      <c r="J374" s="2014"/>
      <c r="K374" s="2014"/>
      <c r="L374" s="2014"/>
      <c r="M374" s="2014"/>
      <c r="N374" s="2014"/>
      <c r="O374" s="2014"/>
      <c r="P374" s="2014"/>
      <c r="Q374" s="2014"/>
      <c r="R374" s="2014"/>
      <c r="S374" s="2014"/>
      <c r="T374" s="2014"/>
      <c r="U374" s="2014"/>
      <c r="V374" s="2014"/>
      <c r="W374" s="2014"/>
      <c r="X374" s="2014"/>
      <c r="Y374" s="2014"/>
      <c r="Z374" s="2014"/>
      <c r="AA374" s="2014"/>
      <c r="AB374" s="2014"/>
      <c r="AC374" s="2014"/>
      <c r="AD374" s="2014"/>
      <c r="AE374" s="2014"/>
      <c r="AF374" s="201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4"/>
      <c r="G375" s="2014"/>
      <c r="H375" s="2014"/>
      <c r="I375" s="2014"/>
      <c r="J375" s="2014"/>
      <c r="K375" s="2014"/>
      <c r="L375" s="2014"/>
      <c r="M375" s="2014"/>
      <c r="N375" s="2014"/>
      <c r="O375" s="2014"/>
      <c r="P375" s="2014"/>
      <c r="Q375" s="2014"/>
      <c r="R375" s="2014"/>
      <c r="S375" s="2014"/>
      <c r="T375" s="2014"/>
      <c r="U375" s="2014"/>
      <c r="V375" s="2014"/>
      <c r="W375" s="2014"/>
      <c r="X375" s="2014"/>
      <c r="Y375" s="2014"/>
      <c r="Z375" s="2014"/>
      <c r="AA375" s="2014"/>
      <c r="AB375" s="2014"/>
      <c r="AC375" s="2014"/>
      <c r="AD375" s="2014"/>
      <c r="AE375" s="2014"/>
      <c r="AF375" s="201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4"/>
      <c r="G376" s="2014"/>
      <c r="H376" s="2014"/>
      <c r="I376" s="2014"/>
      <c r="J376" s="2014"/>
      <c r="K376" s="2014"/>
      <c r="L376" s="2014"/>
      <c r="M376" s="2014"/>
      <c r="N376" s="2014"/>
      <c r="O376" s="2014"/>
      <c r="P376" s="2014"/>
      <c r="Q376" s="2014"/>
      <c r="R376" s="2014"/>
      <c r="S376" s="2014"/>
      <c r="T376" s="2014"/>
      <c r="U376" s="2014"/>
      <c r="V376" s="2014"/>
      <c r="W376" s="2014"/>
      <c r="X376" s="2014"/>
      <c r="Y376" s="2014"/>
      <c r="Z376" s="2014"/>
      <c r="AA376" s="2014"/>
      <c r="AB376" s="2014"/>
      <c r="AC376" s="2014"/>
      <c r="AD376" s="2014"/>
      <c r="AE376" s="2014"/>
      <c r="AF376" s="201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4"/>
      <c r="G377" s="2014"/>
      <c r="H377" s="2014"/>
      <c r="I377" s="2014"/>
      <c r="J377" s="2014"/>
      <c r="K377" s="2014"/>
      <c r="L377" s="2014"/>
      <c r="M377" s="2014"/>
      <c r="N377" s="2014"/>
      <c r="O377" s="2014"/>
      <c r="P377" s="2014"/>
      <c r="Q377" s="2014"/>
      <c r="R377" s="2014"/>
      <c r="S377" s="2014"/>
      <c r="T377" s="2014"/>
      <c r="U377" s="2014"/>
      <c r="V377" s="2014"/>
      <c r="W377" s="2014"/>
      <c r="X377" s="2014"/>
      <c r="Y377" s="2014"/>
      <c r="Z377" s="2014"/>
      <c r="AA377" s="2014"/>
      <c r="AB377" s="2014"/>
      <c r="AC377" s="2014"/>
      <c r="AD377" s="2014"/>
      <c r="AE377" s="2014"/>
      <c r="AF377" s="2014"/>
      <c r="AL377" s="766"/>
      <c r="AN377" s="631"/>
      <c r="BS377" s="30"/>
      <c r="BT377" s="30"/>
      <c r="BU377" s="14"/>
      <c r="BV377" s="14"/>
      <c r="BW377" s="14"/>
      <c r="BX377" s="14"/>
      <c r="BY377" s="14"/>
      <c r="BZ377" s="14"/>
      <c r="CA377" s="14"/>
      <c r="CB377" s="14"/>
      <c r="CC377" s="14"/>
    </row>
    <row r="378" spans="1:81" s="584" customFormat="1" ht="12.75" customHeight="1">
      <c r="A378" s="570"/>
      <c r="B378" s="14"/>
      <c r="C378" s="2010" t="s">
        <v>600</v>
      </c>
      <c r="D378" s="1967"/>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1" t="s">
        <v>1574</v>
      </c>
      <c r="AG378" s="2011"/>
      <c r="AH378" s="2011"/>
      <c r="AI378" s="2011"/>
      <c r="AJ378" s="2011"/>
      <c r="AK378" s="2011"/>
      <c r="AL378" s="2012"/>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2013" t="s">
        <v>1577</v>
      </c>
      <c r="G381" s="2013"/>
      <c r="H381" s="2013"/>
      <c r="I381" s="2013"/>
      <c r="J381" s="2013"/>
      <c r="K381" s="2013"/>
      <c r="L381" s="2013"/>
      <c r="M381" s="2013"/>
      <c r="N381" s="2013"/>
      <c r="O381" s="2013"/>
      <c r="P381" s="2013"/>
      <c r="Q381" s="2013"/>
      <c r="R381" s="2013"/>
      <c r="S381" s="2013"/>
      <c r="T381" s="2013"/>
      <c r="U381" s="2013"/>
      <c r="V381" s="2013"/>
      <c r="W381" s="2013"/>
      <c r="X381" s="2013"/>
      <c r="Y381" s="2013"/>
      <c r="Z381" s="2013"/>
      <c r="AA381" s="2013"/>
      <c r="AB381" s="2013"/>
      <c r="AC381" s="2013"/>
      <c r="AD381" s="2013"/>
      <c r="AE381" s="2013"/>
      <c r="AF381" s="201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4"/>
      <c r="G382" s="2014"/>
      <c r="H382" s="2014"/>
      <c r="I382" s="2014"/>
      <c r="J382" s="2014"/>
      <c r="K382" s="2014"/>
      <c r="L382" s="2014"/>
      <c r="M382" s="2014"/>
      <c r="N382" s="2014"/>
      <c r="O382" s="2014"/>
      <c r="P382" s="2014"/>
      <c r="Q382" s="2014"/>
      <c r="R382" s="2014"/>
      <c r="S382" s="2014"/>
      <c r="T382" s="2014"/>
      <c r="U382" s="2014"/>
      <c r="V382" s="2014"/>
      <c r="W382" s="2014"/>
      <c r="X382" s="2014"/>
      <c r="Y382" s="2014"/>
      <c r="Z382" s="2014"/>
      <c r="AA382" s="2014"/>
      <c r="AB382" s="2014"/>
      <c r="AC382" s="2014"/>
      <c r="AD382" s="2014"/>
      <c r="AE382" s="2014"/>
      <c r="AF382" s="201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4"/>
      <c r="G383" s="2014"/>
      <c r="H383" s="2014"/>
      <c r="I383" s="2014"/>
      <c r="J383" s="2014"/>
      <c r="K383" s="2014"/>
      <c r="L383" s="2014"/>
      <c r="M383" s="2014"/>
      <c r="N383" s="2014"/>
      <c r="O383" s="2014"/>
      <c r="P383" s="2014"/>
      <c r="Q383" s="2014"/>
      <c r="R383" s="2014"/>
      <c r="S383" s="2014"/>
      <c r="T383" s="2014"/>
      <c r="U383" s="2014"/>
      <c r="V383" s="2014"/>
      <c r="W383" s="2014"/>
      <c r="X383" s="2014"/>
      <c r="Y383" s="2014"/>
      <c r="Z383" s="2014"/>
      <c r="AA383" s="2014"/>
      <c r="AB383" s="2014"/>
      <c r="AC383" s="2014"/>
      <c r="AD383" s="2014"/>
      <c r="AE383" s="2014"/>
      <c r="AF383" s="201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4"/>
      <c r="G384" s="2014"/>
      <c r="H384" s="2014"/>
      <c r="I384" s="2014"/>
      <c r="J384" s="2014"/>
      <c r="K384" s="2014"/>
      <c r="L384" s="2014"/>
      <c r="M384" s="2014"/>
      <c r="N384" s="2014"/>
      <c r="O384" s="2014"/>
      <c r="P384" s="2014"/>
      <c r="Q384" s="2014"/>
      <c r="R384" s="2014"/>
      <c r="S384" s="2014"/>
      <c r="T384" s="2014"/>
      <c r="U384" s="2014"/>
      <c r="V384" s="2014"/>
      <c r="W384" s="2014"/>
      <c r="X384" s="2014"/>
      <c r="Y384" s="2014"/>
      <c r="Z384" s="2014"/>
      <c r="AA384" s="2014"/>
      <c r="AB384" s="2014"/>
      <c r="AC384" s="2014"/>
      <c r="AD384" s="2014"/>
      <c r="AE384" s="2014"/>
      <c r="AF384" s="201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4"/>
      <c r="G385" s="2014"/>
      <c r="H385" s="2014"/>
      <c r="I385" s="2014"/>
      <c r="J385" s="2014"/>
      <c r="K385" s="2014"/>
      <c r="L385" s="2014"/>
      <c r="M385" s="2014"/>
      <c r="N385" s="2014"/>
      <c r="O385" s="2014"/>
      <c r="P385" s="2014"/>
      <c r="Q385" s="2014"/>
      <c r="R385" s="2014"/>
      <c r="S385" s="2014"/>
      <c r="T385" s="2014"/>
      <c r="U385" s="2014"/>
      <c r="V385" s="2014"/>
      <c r="W385" s="2014"/>
      <c r="X385" s="2014"/>
      <c r="Y385" s="2014"/>
      <c r="Z385" s="2014"/>
      <c r="AA385" s="2014"/>
      <c r="AB385" s="2014"/>
      <c r="AC385" s="2014"/>
      <c r="AD385" s="2014"/>
      <c r="AE385" s="2014"/>
      <c r="AF385" s="201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0" t="s">
        <v>554</v>
      </c>
      <c r="D386" s="1967"/>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1" t="s">
        <v>1579</v>
      </c>
      <c r="AG386" s="2011"/>
      <c r="AH386" s="2011"/>
      <c r="AI386" s="2011"/>
      <c r="AJ386" s="2011"/>
      <c r="AK386" s="2011"/>
      <c r="AL386" s="2012"/>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0" t="s">
        <v>600</v>
      </c>
      <c r="D388" s="1967"/>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1" t="s">
        <v>1574</v>
      </c>
      <c r="AG388" s="2011"/>
      <c r="AH388" s="2011"/>
      <c r="AI388" s="2011"/>
      <c r="AJ388" s="2011"/>
      <c r="AK388" s="2011"/>
      <c r="AL388" s="2012"/>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2013" t="s">
        <v>1583</v>
      </c>
      <c r="G392" s="2013"/>
      <c r="H392" s="2013"/>
      <c r="I392" s="2013"/>
      <c r="J392" s="2013"/>
      <c r="K392" s="2013"/>
      <c r="L392" s="2013"/>
      <c r="M392" s="2013"/>
      <c r="N392" s="2013"/>
      <c r="O392" s="2013"/>
      <c r="P392" s="2013"/>
      <c r="Q392" s="2013"/>
      <c r="R392" s="2013"/>
      <c r="S392" s="2013"/>
      <c r="T392" s="2013"/>
      <c r="U392" s="2013"/>
      <c r="V392" s="2013"/>
      <c r="W392" s="2013"/>
      <c r="X392" s="2013"/>
      <c r="Y392" s="2013"/>
      <c r="Z392" s="2013"/>
      <c r="AA392" s="2013"/>
      <c r="AB392" s="2013"/>
      <c r="AC392" s="2013"/>
      <c r="AD392" s="2013"/>
      <c r="AE392" s="2013"/>
      <c r="AF392" s="201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4"/>
      <c r="G393" s="2014"/>
      <c r="H393" s="2014"/>
      <c r="I393" s="2014"/>
      <c r="J393" s="2014"/>
      <c r="K393" s="2014"/>
      <c r="L393" s="2014"/>
      <c r="M393" s="2014"/>
      <c r="N393" s="2014"/>
      <c r="O393" s="2014"/>
      <c r="P393" s="2014"/>
      <c r="Q393" s="2014"/>
      <c r="R393" s="2014"/>
      <c r="S393" s="2014"/>
      <c r="T393" s="2014"/>
      <c r="U393" s="2014"/>
      <c r="V393" s="2014"/>
      <c r="W393" s="2014"/>
      <c r="X393" s="2014"/>
      <c r="Y393" s="2014"/>
      <c r="Z393" s="2014"/>
      <c r="AA393" s="2014"/>
      <c r="AB393" s="2014"/>
      <c r="AC393" s="2014"/>
      <c r="AD393" s="2014"/>
      <c r="AE393" s="2014"/>
      <c r="AF393" s="201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14"/>
      <c r="G394" s="2014"/>
      <c r="H394" s="2014"/>
      <c r="I394" s="2014"/>
      <c r="J394" s="2014"/>
      <c r="K394" s="2014"/>
      <c r="L394" s="2014"/>
      <c r="M394" s="2014"/>
      <c r="N394" s="2014"/>
      <c r="O394" s="2014"/>
      <c r="P394" s="2014"/>
      <c r="Q394" s="2014"/>
      <c r="R394" s="2014"/>
      <c r="S394" s="2014"/>
      <c r="T394" s="2014"/>
      <c r="U394" s="2014"/>
      <c r="V394" s="2014"/>
      <c r="W394" s="2014"/>
      <c r="X394" s="2014"/>
      <c r="Y394" s="2014"/>
      <c r="Z394" s="2014"/>
      <c r="AA394" s="2014"/>
      <c r="AB394" s="2014"/>
      <c r="AC394" s="2014"/>
      <c r="AD394" s="2014"/>
      <c r="AE394" s="2014"/>
      <c r="AF394" s="201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4"/>
      <c r="G395" s="2014"/>
      <c r="H395" s="2014"/>
      <c r="I395" s="2014"/>
      <c r="J395" s="2014"/>
      <c r="K395" s="2014"/>
      <c r="L395" s="2014"/>
      <c r="M395" s="2014"/>
      <c r="N395" s="2014"/>
      <c r="O395" s="2014"/>
      <c r="P395" s="2014"/>
      <c r="Q395" s="2014"/>
      <c r="R395" s="2014"/>
      <c r="S395" s="2014"/>
      <c r="T395" s="2014"/>
      <c r="U395" s="2014"/>
      <c r="V395" s="2014"/>
      <c r="W395" s="2014"/>
      <c r="X395" s="2014"/>
      <c r="Y395" s="2014"/>
      <c r="Z395" s="2014"/>
      <c r="AA395" s="2014"/>
      <c r="AB395" s="2014"/>
      <c r="AC395" s="2014"/>
      <c r="AD395" s="2014"/>
      <c r="AE395" s="2014"/>
      <c r="AF395" s="201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0" t="s">
        <v>554</v>
      </c>
      <c r="D396" s="1967"/>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1" t="s">
        <v>1574</v>
      </c>
      <c r="AG396" s="2011"/>
      <c r="AH396" s="2011"/>
      <c r="AI396" s="2011"/>
      <c r="AJ396" s="2011"/>
      <c r="AK396" s="2011"/>
      <c r="AL396" s="2012"/>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0" t="s">
        <v>600</v>
      </c>
      <c r="D398" s="1967"/>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1" t="s">
        <v>1586</v>
      </c>
      <c r="AG398" s="2011"/>
      <c r="AH398" s="2011"/>
      <c r="AI398" s="2011"/>
      <c r="AJ398" s="2011"/>
      <c r="AK398" s="2011"/>
      <c r="AL398" s="2012"/>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0" t="s">
        <v>600</v>
      </c>
      <c r="D401" s="1967"/>
      <c r="E401" s="749" t="s">
        <v>1587</v>
      </c>
      <c r="F401" s="2013" t="s">
        <v>1588</v>
      </c>
      <c r="G401" s="2013"/>
      <c r="H401" s="2013"/>
      <c r="I401" s="2013"/>
      <c r="J401" s="2013"/>
      <c r="K401" s="2013"/>
      <c r="L401" s="2013"/>
      <c r="M401" s="2013"/>
      <c r="N401" s="2013"/>
      <c r="O401" s="2013"/>
      <c r="P401" s="2013"/>
      <c r="Q401" s="2013"/>
      <c r="R401" s="2013"/>
      <c r="S401" s="2013"/>
      <c r="T401" s="2013"/>
      <c r="U401" s="2013"/>
      <c r="V401" s="2013"/>
      <c r="W401" s="2013"/>
      <c r="X401" s="2013"/>
      <c r="Y401" s="2013"/>
      <c r="Z401" s="2013"/>
      <c r="AA401" s="2013"/>
      <c r="AB401" s="2013"/>
      <c r="AC401" s="2013"/>
      <c r="AD401" s="2013"/>
      <c r="AE401" s="201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4"/>
      <c r="G402" s="2014"/>
      <c r="H402" s="2014"/>
      <c r="I402" s="2014"/>
      <c r="J402" s="2014"/>
      <c r="K402" s="2014"/>
      <c r="L402" s="2014"/>
      <c r="M402" s="2014"/>
      <c r="N402" s="2014"/>
      <c r="O402" s="2014"/>
      <c r="P402" s="2014"/>
      <c r="Q402" s="2014"/>
      <c r="R402" s="2014"/>
      <c r="S402" s="2014"/>
      <c r="T402" s="2014"/>
      <c r="U402" s="2014"/>
      <c r="V402" s="2014"/>
      <c r="W402" s="2014"/>
      <c r="X402" s="2014"/>
      <c r="Y402" s="2014"/>
      <c r="Z402" s="2014"/>
      <c r="AA402" s="2014"/>
      <c r="AB402" s="2014"/>
      <c r="AC402" s="2014"/>
      <c r="AD402" s="2014"/>
      <c r="AE402" s="2014"/>
      <c r="AF402" s="1936" t="s">
        <v>1574</v>
      </c>
      <c r="AG402" s="1936"/>
      <c r="AH402" s="1936"/>
      <c r="AI402" s="1936"/>
      <c r="AJ402" s="1936"/>
      <c r="AK402" s="1936"/>
      <c r="AL402" s="2015"/>
      <c r="AM402" s="604"/>
      <c r="AN402" s="631"/>
      <c r="BS402" s="604"/>
      <c r="BT402" s="604"/>
      <c r="BY402" s="604"/>
      <c r="BZ402" s="604"/>
      <c r="CA402" s="604"/>
      <c r="CB402" s="604"/>
      <c r="CC402" s="604"/>
    </row>
    <row r="403" spans="1:81" s="584" customFormat="1" ht="12.75" customHeight="1">
      <c r="A403" s="570"/>
      <c r="B403" s="14"/>
      <c r="C403" s="765"/>
      <c r="D403" s="14"/>
      <c r="E403" s="725"/>
      <c r="F403" s="2014"/>
      <c r="G403" s="2014"/>
      <c r="H403" s="2014"/>
      <c r="I403" s="2014"/>
      <c r="J403" s="2014"/>
      <c r="K403" s="2014"/>
      <c r="L403" s="2014"/>
      <c r="M403" s="2014"/>
      <c r="N403" s="2014"/>
      <c r="O403" s="2014"/>
      <c r="P403" s="2014"/>
      <c r="Q403" s="2014"/>
      <c r="R403" s="2014"/>
      <c r="S403" s="2014"/>
      <c r="T403" s="2014"/>
      <c r="U403" s="2014"/>
      <c r="V403" s="2014"/>
      <c r="W403" s="2014"/>
      <c r="X403" s="2014"/>
      <c r="Y403" s="2014"/>
      <c r="Z403" s="2014"/>
      <c r="AA403" s="2014"/>
      <c r="AB403" s="2014"/>
      <c r="AC403" s="2014"/>
      <c r="AD403" s="2014"/>
      <c r="AE403" s="201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3"/>
      <c r="G404" s="2033"/>
      <c r="H404" s="2033"/>
      <c r="I404" s="2033"/>
      <c r="J404" s="2033"/>
      <c r="K404" s="2033"/>
      <c r="L404" s="2033"/>
      <c r="M404" s="2033"/>
      <c r="N404" s="2033"/>
      <c r="O404" s="2033"/>
      <c r="P404" s="2033"/>
      <c r="Q404" s="2033"/>
      <c r="R404" s="2033"/>
      <c r="S404" s="2033"/>
      <c r="T404" s="2033"/>
      <c r="U404" s="2033"/>
      <c r="V404" s="2033"/>
      <c r="W404" s="2033"/>
      <c r="X404" s="2033"/>
      <c r="Y404" s="2033"/>
      <c r="Z404" s="2033"/>
      <c r="AA404" s="2033"/>
      <c r="AB404" s="2033"/>
      <c r="AC404" s="2033"/>
      <c r="AD404" s="2033"/>
      <c r="AE404" s="2033"/>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2013" t="s">
        <v>1590</v>
      </c>
      <c r="G406" s="2013"/>
      <c r="H406" s="2013"/>
      <c r="I406" s="2013"/>
      <c r="J406" s="2013"/>
      <c r="K406" s="2013"/>
      <c r="L406" s="2013"/>
      <c r="M406" s="2013"/>
      <c r="N406" s="2013"/>
      <c r="O406" s="2013"/>
      <c r="P406" s="2013"/>
      <c r="Q406" s="2013"/>
      <c r="R406" s="2013"/>
      <c r="S406" s="2013"/>
      <c r="T406" s="2013"/>
      <c r="U406" s="2013"/>
      <c r="V406" s="2013"/>
      <c r="W406" s="2013"/>
      <c r="X406" s="2013"/>
      <c r="Y406" s="2013"/>
      <c r="Z406" s="2013"/>
      <c r="AA406" s="2013"/>
      <c r="AB406" s="2013"/>
      <c r="AC406" s="2013"/>
      <c r="AD406" s="2013"/>
      <c r="AE406" s="2013"/>
      <c r="AF406" s="781"/>
      <c r="AG406" s="781"/>
      <c r="AH406" s="781"/>
      <c r="AI406" s="781"/>
      <c r="AJ406" s="781"/>
      <c r="AK406" s="781"/>
      <c r="AL406" s="782"/>
      <c r="AM406" s="604"/>
    </row>
    <row r="407" spans="1:81" ht="13">
      <c r="A407" s="570"/>
      <c r="C407" s="765"/>
      <c r="E407" s="725"/>
      <c r="F407" s="2014"/>
      <c r="G407" s="2014"/>
      <c r="H407" s="2014"/>
      <c r="I407" s="2014"/>
      <c r="J407" s="2014"/>
      <c r="K407" s="2014"/>
      <c r="L407" s="2014"/>
      <c r="M407" s="2014"/>
      <c r="N407" s="2014"/>
      <c r="O407" s="2014"/>
      <c r="P407" s="2014"/>
      <c r="Q407" s="2014"/>
      <c r="R407" s="2014"/>
      <c r="S407" s="2014"/>
      <c r="T407" s="2014"/>
      <c r="U407" s="2014"/>
      <c r="V407" s="2014"/>
      <c r="W407" s="2014"/>
      <c r="X407" s="2014"/>
      <c r="Y407" s="2014"/>
      <c r="Z407" s="2014"/>
      <c r="AA407" s="2014"/>
      <c r="AB407" s="2014"/>
      <c r="AC407" s="2014"/>
      <c r="AD407" s="2014"/>
      <c r="AE407" s="2014"/>
      <c r="AF407" s="573"/>
      <c r="AG407" s="570"/>
      <c r="AH407" s="584"/>
      <c r="AI407" s="584"/>
      <c r="AJ407" s="584"/>
      <c r="AK407" s="584"/>
      <c r="AL407" s="766"/>
      <c r="AM407" s="604"/>
    </row>
    <row r="408" spans="1:81" s="584" customFormat="1" ht="12.75" customHeight="1">
      <c r="A408" s="570"/>
      <c r="B408" s="14"/>
      <c r="C408" s="765"/>
      <c r="D408" s="14"/>
      <c r="E408" s="725"/>
      <c r="F408" s="2014"/>
      <c r="G408" s="2014"/>
      <c r="H408" s="2014"/>
      <c r="I408" s="2014"/>
      <c r="J408" s="2014"/>
      <c r="K408" s="2014"/>
      <c r="L408" s="2014"/>
      <c r="M408" s="2014"/>
      <c r="N408" s="2014"/>
      <c r="O408" s="2014"/>
      <c r="P408" s="2014"/>
      <c r="Q408" s="2014"/>
      <c r="R408" s="2014"/>
      <c r="S408" s="2014"/>
      <c r="T408" s="2014"/>
      <c r="U408" s="2014"/>
      <c r="V408" s="2014"/>
      <c r="W408" s="2014"/>
      <c r="X408" s="2014"/>
      <c r="Y408" s="2014"/>
      <c r="Z408" s="2014"/>
      <c r="AA408" s="2014"/>
      <c r="AB408" s="2014"/>
      <c r="AC408" s="2014"/>
      <c r="AD408" s="2014"/>
      <c r="AE408" s="2014"/>
      <c r="AL408" s="766"/>
      <c r="AM408" s="604"/>
      <c r="AN408" s="631"/>
    </row>
    <row r="409" spans="1:81" s="584" customFormat="1" ht="12.75" customHeight="1">
      <c r="A409" s="570"/>
      <c r="B409" s="14"/>
      <c r="C409" s="773"/>
      <c r="F409" s="2014"/>
      <c r="G409" s="2014"/>
      <c r="H409" s="2014"/>
      <c r="I409" s="2014"/>
      <c r="J409" s="2014"/>
      <c r="K409" s="2014"/>
      <c r="L409" s="2014"/>
      <c r="M409" s="2014"/>
      <c r="N409" s="2014"/>
      <c r="O409" s="2014"/>
      <c r="P409" s="2014"/>
      <c r="Q409" s="2014"/>
      <c r="R409" s="2014"/>
      <c r="S409" s="2014"/>
      <c r="T409" s="2014"/>
      <c r="U409" s="2014"/>
      <c r="V409" s="2014"/>
      <c r="W409" s="2014"/>
      <c r="X409" s="2014"/>
      <c r="Y409" s="2014"/>
      <c r="Z409" s="2014"/>
      <c r="AA409" s="2014"/>
      <c r="AB409" s="2014"/>
      <c r="AC409" s="2014"/>
      <c r="AD409" s="2014"/>
      <c r="AE409" s="2014"/>
      <c r="AL409" s="766"/>
      <c r="AM409" s="604"/>
      <c r="AN409" s="631"/>
    </row>
    <row r="410" spans="1:81" s="584" customFormat="1" ht="12.75" customHeight="1">
      <c r="A410" s="570"/>
      <c r="B410" s="14"/>
      <c r="C410" s="2010" t="s">
        <v>600</v>
      </c>
      <c r="D410" s="1967"/>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6" t="s">
        <v>1574</v>
      </c>
      <c r="AG410" s="1936"/>
      <c r="AH410" s="1936"/>
      <c r="AI410" s="1936"/>
      <c r="AJ410" s="1936"/>
      <c r="AK410" s="1936"/>
      <c r="AL410" s="2015"/>
      <c r="AM410" s="604"/>
      <c r="AN410" s="631"/>
    </row>
    <row r="411" spans="1:81" s="584" customFormat="1" ht="12.75" customHeight="1">
      <c r="A411" s="570"/>
      <c r="B411" s="14"/>
      <c r="C411" s="773"/>
      <c r="AL411" s="766"/>
      <c r="AM411" s="604"/>
      <c r="AN411" s="631"/>
    </row>
    <row r="412" spans="1:81" s="584" customFormat="1" ht="12.75" customHeight="1">
      <c r="A412" s="570"/>
      <c r="B412" s="14"/>
      <c r="C412" s="2010" t="s">
        <v>600</v>
      </c>
      <c r="D412" s="1967"/>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6" t="s">
        <v>1586</v>
      </c>
      <c r="AG412" s="1936"/>
      <c r="AH412" s="1936"/>
      <c r="AI412" s="1936"/>
      <c r="AJ412" s="1936"/>
      <c r="AK412" s="1936"/>
      <c r="AL412" s="201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2013" t="s">
        <v>1594</v>
      </c>
      <c r="G416" s="2013"/>
      <c r="H416" s="2013"/>
      <c r="I416" s="2013"/>
      <c r="J416" s="2013"/>
      <c r="K416" s="2013"/>
      <c r="L416" s="2013"/>
      <c r="M416" s="2013"/>
      <c r="N416" s="2013"/>
      <c r="O416" s="2013"/>
      <c r="P416" s="2013"/>
      <c r="Q416" s="2013"/>
      <c r="R416" s="2013"/>
      <c r="S416" s="2013"/>
      <c r="T416" s="2013"/>
      <c r="U416" s="2013"/>
      <c r="V416" s="2013"/>
      <c r="W416" s="2013"/>
      <c r="X416" s="2013"/>
      <c r="Y416" s="2013"/>
      <c r="Z416" s="2013"/>
      <c r="AA416" s="2013"/>
      <c r="AB416" s="2013"/>
      <c r="AC416" s="2013"/>
      <c r="AD416" s="2013"/>
      <c r="AE416" s="2013"/>
      <c r="AF416" s="748"/>
      <c r="AG416" s="748"/>
      <c r="AH416" s="748"/>
      <c r="AI416" s="748"/>
      <c r="AJ416" s="748"/>
      <c r="AK416" s="748"/>
      <c r="AL416" s="779"/>
      <c r="AM416" s="604"/>
      <c r="AN416" s="631"/>
    </row>
    <row r="417" spans="1:60" s="584" customFormat="1" ht="12.75" customHeight="1">
      <c r="A417" s="570"/>
      <c r="B417" s="14"/>
      <c r="C417" s="765"/>
      <c r="D417" s="14"/>
      <c r="E417" s="725"/>
      <c r="F417" s="2014"/>
      <c r="G417" s="2014"/>
      <c r="H417" s="2014"/>
      <c r="I417" s="2014"/>
      <c r="J417" s="2014"/>
      <c r="K417" s="2014"/>
      <c r="L417" s="2014"/>
      <c r="M417" s="2014"/>
      <c r="N417" s="2014"/>
      <c r="O417" s="2014"/>
      <c r="P417" s="2014"/>
      <c r="Q417" s="2014"/>
      <c r="R417" s="2014"/>
      <c r="S417" s="2014"/>
      <c r="T417" s="2014"/>
      <c r="U417" s="2014"/>
      <c r="V417" s="2014"/>
      <c r="W417" s="2014"/>
      <c r="X417" s="2014"/>
      <c r="Y417" s="2014"/>
      <c r="Z417" s="2014"/>
      <c r="AA417" s="2014"/>
      <c r="AB417" s="2014"/>
      <c r="AC417" s="2014"/>
      <c r="AD417" s="2014"/>
      <c r="AE417" s="2014"/>
      <c r="AF417" s="573"/>
      <c r="AG417" s="570"/>
      <c r="AL417" s="766"/>
      <c r="AM417" s="604"/>
      <c r="AN417" s="631"/>
    </row>
    <row r="418" spans="1:60" s="584" customFormat="1" ht="12.4" customHeight="1">
      <c r="A418" s="570"/>
      <c r="B418" s="14"/>
      <c r="C418" s="765"/>
      <c r="D418" s="14"/>
      <c r="E418" s="725"/>
      <c r="F418" s="2014"/>
      <c r="G418" s="2014"/>
      <c r="H418" s="2014"/>
      <c r="I418" s="2014"/>
      <c r="J418" s="2014"/>
      <c r="K418" s="2014"/>
      <c r="L418" s="2014"/>
      <c r="M418" s="2014"/>
      <c r="N418" s="2014"/>
      <c r="O418" s="2014"/>
      <c r="P418" s="2014"/>
      <c r="Q418" s="2014"/>
      <c r="R418" s="2014"/>
      <c r="S418" s="2014"/>
      <c r="T418" s="2014"/>
      <c r="U418" s="2014"/>
      <c r="V418" s="2014"/>
      <c r="W418" s="2014"/>
      <c r="X418" s="2014"/>
      <c r="Y418" s="2014"/>
      <c r="Z418" s="2014"/>
      <c r="AA418" s="2014"/>
      <c r="AB418" s="2014"/>
      <c r="AC418" s="2014"/>
      <c r="AD418" s="2014"/>
      <c r="AE418" s="2014"/>
      <c r="AL418" s="766"/>
      <c r="AM418" s="604"/>
      <c r="AN418" s="631"/>
    </row>
    <row r="419" spans="1:60" s="584" customFormat="1" ht="12.75" customHeight="1">
      <c r="A419" s="570"/>
      <c r="B419" s="14"/>
      <c r="C419" s="2010" t="s">
        <v>600</v>
      </c>
      <c r="D419" s="1967"/>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6" t="s">
        <v>1574</v>
      </c>
      <c r="AG419" s="1936"/>
      <c r="AH419" s="1936"/>
      <c r="AI419" s="1936"/>
      <c r="AJ419" s="1936"/>
      <c r="AK419" s="1936"/>
      <c r="AL419" s="201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1596</v>
      </c>
      <c r="F422" s="2013" t="s">
        <v>1597</v>
      </c>
      <c r="G422" s="2013"/>
      <c r="H422" s="2013"/>
      <c r="I422" s="2013"/>
      <c r="J422" s="2013"/>
      <c r="K422" s="2013"/>
      <c r="L422" s="2013"/>
      <c r="M422" s="2013"/>
      <c r="N422" s="2013"/>
      <c r="O422" s="2013"/>
      <c r="P422" s="2013"/>
      <c r="Q422" s="2013"/>
      <c r="R422" s="2013"/>
      <c r="S422" s="2013"/>
      <c r="T422" s="2013"/>
      <c r="U422" s="2013"/>
      <c r="V422" s="2013"/>
      <c r="W422" s="2013"/>
      <c r="X422" s="2013"/>
      <c r="Y422" s="2013"/>
      <c r="Z422" s="2013"/>
      <c r="AA422" s="2013"/>
      <c r="AB422" s="2013"/>
      <c r="AC422" s="2013"/>
      <c r="AD422" s="2013"/>
      <c r="AE422" s="2013"/>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14"/>
      <c r="G423" s="2014"/>
      <c r="H423" s="2014"/>
      <c r="I423" s="2014"/>
      <c r="J423" s="2014"/>
      <c r="K423" s="2014"/>
      <c r="L423" s="2014"/>
      <c r="M423" s="2014"/>
      <c r="N423" s="2014"/>
      <c r="O423" s="2014"/>
      <c r="P423" s="2014"/>
      <c r="Q423" s="2014"/>
      <c r="R423" s="2014"/>
      <c r="S423" s="2014"/>
      <c r="T423" s="2014"/>
      <c r="U423" s="2014"/>
      <c r="V423" s="2014"/>
      <c r="W423" s="2014"/>
      <c r="X423" s="2014"/>
      <c r="Y423" s="2014"/>
      <c r="Z423" s="2014"/>
      <c r="AA423" s="2014"/>
      <c r="AB423" s="2014"/>
      <c r="AC423" s="2014"/>
      <c r="AD423" s="2014"/>
      <c r="AE423" s="2014"/>
      <c r="AF423" s="628"/>
      <c r="AG423" s="628"/>
      <c r="AH423" s="628"/>
      <c r="AI423" s="628"/>
      <c r="AJ423" s="628"/>
      <c r="AK423" s="628"/>
      <c r="AL423" s="784"/>
      <c r="AM423" s="604"/>
      <c r="AO423" s="584"/>
      <c r="AP423" s="584"/>
    </row>
    <row r="424" spans="1:60" s="584" customFormat="1" ht="12.75" customHeight="1">
      <c r="A424" s="570"/>
      <c r="B424" s="14"/>
      <c r="C424" s="765"/>
      <c r="D424" s="14"/>
      <c r="E424" s="725"/>
      <c r="F424" s="2014"/>
      <c r="G424" s="2014"/>
      <c r="H424" s="2014"/>
      <c r="I424" s="2014"/>
      <c r="J424" s="2014"/>
      <c r="K424" s="2014"/>
      <c r="L424" s="2014"/>
      <c r="M424" s="2014"/>
      <c r="N424" s="2014"/>
      <c r="O424" s="2014"/>
      <c r="P424" s="2014"/>
      <c r="Q424" s="2014"/>
      <c r="R424" s="2014"/>
      <c r="S424" s="2014"/>
      <c r="T424" s="2014"/>
      <c r="U424" s="2014"/>
      <c r="V424" s="2014"/>
      <c r="W424" s="2014"/>
      <c r="X424" s="2014"/>
      <c r="Y424" s="2014"/>
      <c r="Z424" s="2014"/>
      <c r="AA424" s="2014"/>
      <c r="AB424" s="2014"/>
      <c r="AC424" s="2014"/>
      <c r="AD424" s="2014"/>
      <c r="AE424" s="2014"/>
      <c r="AF424" s="628"/>
      <c r="AG424" s="628"/>
      <c r="AH424" s="628"/>
      <c r="AI424" s="628"/>
      <c r="AJ424" s="628"/>
      <c r="AK424" s="628"/>
      <c r="AL424" s="784"/>
      <c r="AM424" s="604"/>
      <c r="AN424" s="631"/>
    </row>
    <row r="425" spans="1:60" s="584" customFormat="1" ht="12.75" customHeight="1">
      <c r="A425" s="570"/>
      <c r="B425" s="14"/>
      <c r="C425" s="785"/>
      <c r="D425" s="764"/>
      <c r="E425" s="753"/>
      <c r="F425" s="2014"/>
      <c r="G425" s="2014"/>
      <c r="H425" s="2014"/>
      <c r="I425" s="2014"/>
      <c r="J425" s="2014"/>
      <c r="K425" s="2014"/>
      <c r="L425" s="2014"/>
      <c r="M425" s="2014"/>
      <c r="N425" s="2014"/>
      <c r="O425" s="2014"/>
      <c r="P425" s="2014"/>
      <c r="Q425" s="2014"/>
      <c r="R425" s="2014"/>
      <c r="S425" s="2014"/>
      <c r="T425" s="2014"/>
      <c r="U425" s="2014"/>
      <c r="V425" s="2014"/>
      <c r="W425" s="2014"/>
      <c r="X425" s="2014"/>
      <c r="Y425" s="2014"/>
      <c r="Z425" s="2014"/>
      <c r="AA425" s="2014"/>
      <c r="AB425" s="2014"/>
      <c r="AC425" s="2014"/>
      <c r="AD425" s="2014"/>
      <c r="AE425" s="201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4"/>
      <c r="G426" s="2014"/>
      <c r="H426" s="2014"/>
      <c r="I426" s="2014"/>
      <c r="J426" s="2014"/>
      <c r="K426" s="2014"/>
      <c r="L426" s="2014"/>
      <c r="M426" s="2014"/>
      <c r="N426" s="2014"/>
      <c r="O426" s="2014"/>
      <c r="P426" s="2014"/>
      <c r="Q426" s="2014"/>
      <c r="R426" s="2014"/>
      <c r="S426" s="2014"/>
      <c r="T426" s="2014"/>
      <c r="U426" s="2014"/>
      <c r="V426" s="2014"/>
      <c r="W426" s="2014"/>
      <c r="X426" s="2014"/>
      <c r="Y426" s="2014"/>
      <c r="Z426" s="2014"/>
      <c r="AA426" s="2014"/>
      <c r="AB426" s="2014"/>
      <c r="AC426" s="2014"/>
      <c r="AD426" s="2014"/>
      <c r="AE426" s="2014"/>
      <c r="AF426" s="628"/>
      <c r="AG426" s="628"/>
      <c r="AH426" s="628"/>
      <c r="AI426" s="628"/>
      <c r="AJ426" s="628"/>
      <c r="AK426" s="628"/>
      <c r="AL426" s="784"/>
      <c r="AM426" s="604"/>
      <c r="AN426" s="631"/>
    </row>
    <row r="427" spans="1:60" s="584" customFormat="1" ht="12.75" customHeight="1">
      <c r="A427" s="570"/>
      <c r="B427" s="14"/>
      <c r="C427" s="785"/>
      <c r="D427" s="764"/>
      <c r="E427" s="753"/>
      <c r="F427" s="2014"/>
      <c r="G427" s="2014"/>
      <c r="H427" s="2014"/>
      <c r="I427" s="2014"/>
      <c r="J427" s="2014"/>
      <c r="K427" s="2014"/>
      <c r="L427" s="2014"/>
      <c r="M427" s="2014"/>
      <c r="N427" s="2014"/>
      <c r="O427" s="2014"/>
      <c r="P427" s="2014"/>
      <c r="Q427" s="2014"/>
      <c r="R427" s="2014"/>
      <c r="S427" s="2014"/>
      <c r="T427" s="2014"/>
      <c r="U427" s="2014"/>
      <c r="V427" s="2014"/>
      <c r="W427" s="2014"/>
      <c r="X427" s="2014"/>
      <c r="Y427" s="2014"/>
      <c r="Z427" s="2014"/>
      <c r="AA427" s="2014"/>
      <c r="AB427" s="2014"/>
      <c r="AC427" s="2014"/>
      <c r="AD427" s="2014"/>
      <c r="AE427" s="2014"/>
      <c r="AF427" s="628"/>
      <c r="AG427" s="628"/>
      <c r="AH427" s="628"/>
      <c r="AI427" s="628"/>
      <c r="AJ427" s="628"/>
      <c r="AK427" s="628"/>
      <c r="AL427" s="784"/>
      <c r="AM427" s="604"/>
      <c r="AN427" s="631"/>
    </row>
    <row r="428" spans="1:60" s="584" customFormat="1" ht="12.75" customHeight="1">
      <c r="A428" s="570"/>
      <c r="B428" s="14"/>
      <c r="C428" s="785"/>
      <c r="D428" s="764"/>
      <c r="E428" s="753"/>
      <c r="F428" s="2014"/>
      <c r="G428" s="2014"/>
      <c r="H428" s="2014"/>
      <c r="I428" s="2014"/>
      <c r="J428" s="2014"/>
      <c r="K428" s="2014"/>
      <c r="L428" s="2014"/>
      <c r="M428" s="2014"/>
      <c r="N428" s="2014"/>
      <c r="O428" s="2014"/>
      <c r="P428" s="2014"/>
      <c r="Q428" s="2014"/>
      <c r="R428" s="2014"/>
      <c r="S428" s="2014"/>
      <c r="T428" s="2014"/>
      <c r="U428" s="2014"/>
      <c r="V428" s="2014"/>
      <c r="W428" s="2014"/>
      <c r="X428" s="2014"/>
      <c r="Y428" s="2014"/>
      <c r="Z428" s="2014"/>
      <c r="AA428" s="2014"/>
      <c r="AB428" s="2014"/>
      <c r="AC428" s="2014"/>
      <c r="AD428" s="2014"/>
      <c r="AE428" s="2014"/>
      <c r="AF428" s="628"/>
      <c r="AG428" s="628"/>
      <c r="AH428" s="628"/>
      <c r="AI428" s="628"/>
      <c r="AJ428" s="628"/>
      <c r="AK428" s="628"/>
      <c r="AL428" s="784"/>
      <c r="AM428" s="604"/>
      <c r="AN428" s="631"/>
    </row>
    <row r="429" spans="1:60" s="584" customFormat="1" ht="12.75" customHeight="1">
      <c r="A429" s="570"/>
      <c r="B429" s="14"/>
      <c r="C429" s="785"/>
      <c r="D429" s="764"/>
      <c r="E429" s="753"/>
      <c r="F429" s="2014"/>
      <c r="G429" s="2014"/>
      <c r="H429" s="2014"/>
      <c r="I429" s="2014"/>
      <c r="J429" s="2014"/>
      <c r="K429" s="2014"/>
      <c r="L429" s="2014"/>
      <c r="M429" s="2014"/>
      <c r="N429" s="2014"/>
      <c r="O429" s="2014"/>
      <c r="P429" s="2014"/>
      <c r="Q429" s="2014"/>
      <c r="R429" s="2014"/>
      <c r="S429" s="2014"/>
      <c r="T429" s="2014"/>
      <c r="U429" s="2014"/>
      <c r="V429" s="2014"/>
      <c r="W429" s="2014"/>
      <c r="X429" s="2014"/>
      <c r="Y429" s="2014"/>
      <c r="Z429" s="2014"/>
      <c r="AA429" s="2014"/>
      <c r="AB429" s="2014"/>
      <c r="AC429" s="2014"/>
      <c r="AD429" s="2014"/>
      <c r="AE429" s="2014"/>
      <c r="AF429" s="628"/>
      <c r="AG429" s="628"/>
      <c r="AH429" s="628"/>
      <c r="AI429" s="628"/>
      <c r="AJ429" s="628"/>
      <c r="AK429" s="628"/>
      <c r="AL429" s="784"/>
      <c r="AM429" s="604"/>
      <c r="AN429" s="631"/>
    </row>
    <row r="430" spans="1:60" s="584" customFormat="1" ht="17.25" customHeight="1">
      <c r="A430" s="570"/>
      <c r="B430" s="14"/>
      <c r="C430" s="785"/>
      <c r="D430" s="764"/>
      <c r="E430" s="753"/>
      <c r="F430" s="2014"/>
      <c r="G430" s="2014"/>
      <c r="H430" s="2014"/>
      <c r="I430" s="2014"/>
      <c r="J430" s="2014"/>
      <c r="K430" s="2014"/>
      <c r="L430" s="2014"/>
      <c r="M430" s="2014"/>
      <c r="N430" s="2014"/>
      <c r="O430" s="2014"/>
      <c r="P430" s="2014"/>
      <c r="Q430" s="2014"/>
      <c r="R430" s="2014"/>
      <c r="S430" s="2014"/>
      <c r="T430" s="2014"/>
      <c r="U430" s="2014"/>
      <c r="V430" s="2014"/>
      <c r="W430" s="2014"/>
      <c r="X430" s="2014"/>
      <c r="Y430" s="2014"/>
      <c r="Z430" s="2014"/>
      <c r="AA430" s="2014"/>
      <c r="AB430" s="2014"/>
      <c r="AC430" s="2014"/>
      <c r="AD430" s="2014"/>
      <c r="AE430" s="2014"/>
      <c r="AL430" s="766"/>
      <c r="AM430" s="604"/>
      <c r="AN430" s="631"/>
    </row>
    <row r="431" spans="1:60" s="584" customFormat="1" ht="12.75" customHeight="1">
      <c r="A431" s="570"/>
      <c r="B431" s="14"/>
      <c r="C431" s="2010" t="s">
        <v>600</v>
      </c>
      <c r="D431" s="1967"/>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6" t="s">
        <v>1574</v>
      </c>
      <c r="AG431" s="1936"/>
      <c r="AH431" s="1936"/>
      <c r="AI431" s="1936"/>
      <c r="AJ431" s="1936"/>
      <c r="AK431" s="1936"/>
      <c r="AL431" s="201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2013" t="s">
        <v>1600</v>
      </c>
      <c r="G434" s="2013"/>
      <c r="H434" s="2013"/>
      <c r="I434" s="2013"/>
      <c r="J434" s="2013"/>
      <c r="K434" s="2013"/>
      <c r="L434" s="2013"/>
      <c r="M434" s="2013"/>
      <c r="N434" s="2013"/>
      <c r="O434" s="2013"/>
      <c r="P434" s="2013"/>
      <c r="Q434" s="2013"/>
      <c r="R434" s="2013"/>
      <c r="S434" s="2013"/>
      <c r="T434" s="2013"/>
      <c r="U434" s="2013"/>
      <c r="V434" s="2013"/>
      <c r="W434" s="2013"/>
      <c r="X434" s="2013"/>
      <c r="Y434" s="2013"/>
      <c r="Z434" s="2013"/>
      <c r="AA434" s="2013"/>
      <c r="AB434" s="2013"/>
      <c r="AC434" s="2013"/>
      <c r="AD434" s="2013"/>
      <c r="AE434" s="2013"/>
      <c r="AF434" s="748"/>
      <c r="AG434" s="748"/>
      <c r="AH434" s="748"/>
      <c r="AI434" s="748"/>
      <c r="AJ434" s="748"/>
      <c r="AK434" s="748"/>
      <c r="AL434" s="779"/>
      <c r="AM434" s="604"/>
      <c r="AN434" s="631"/>
    </row>
    <row r="435" spans="1:40" s="584" customFormat="1" ht="12.75" customHeight="1">
      <c r="A435" s="570"/>
      <c r="B435" s="14"/>
      <c r="C435" s="785"/>
      <c r="D435" s="764"/>
      <c r="E435" s="753"/>
      <c r="F435" s="2014"/>
      <c r="G435" s="2014"/>
      <c r="H435" s="2014"/>
      <c r="I435" s="2014"/>
      <c r="J435" s="2014"/>
      <c r="K435" s="2014"/>
      <c r="L435" s="2014"/>
      <c r="M435" s="2014"/>
      <c r="N435" s="2014"/>
      <c r="O435" s="2014"/>
      <c r="P435" s="2014"/>
      <c r="Q435" s="2014"/>
      <c r="R435" s="2014"/>
      <c r="S435" s="2014"/>
      <c r="T435" s="2014"/>
      <c r="U435" s="2014"/>
      <c r="V435" s="2014"/>
      <c r="W435" s="2014"/>
      <c r="X435" s="2014"/>
      <c r="Y435" s="2014"/>
      <c r="Z435" s="2014"/>
      <c r="AA435" s="2014"/>
      <c r="AB435" s="2014"/>
      <c r="AC435" s="2014"/>
      <c r="AD435" s="2014"/>
      <c r="AE435" s="2014"/>
      <c r="AF435" s="625"/>
      <c r="AG435" s="625"/>
      <c r="AH435" s="625"/>
      <c r="AI435" s="625"/>
      <c r="AJ435" s="625"/>
      <c r="AK435" s="625"/>
      <c r="AL435" s="754"/>
      <c r="AM435" s="604"/>
      <c r="AN435" s="631"/>
    </row>
    <row r="436" spans="1:40" s="584" customFormat="1" ht="12.75" customHeight="1">
      <c r="A436" s="570"/>
      <c r="B436" s="14"/>
      <c r="C436" s="785"/>
      <c r="D436" s="764"/>
      <c r="E436" s="753"/>
      <c r="F436" s="2014"/>
      <c r="G436" s="2014"/>
      <c r="H436" s="2014"/>
      <c r="I436" s="2014"/>
      <c r="J436" s="2014"/>
      <c r="K436" s="2014"/>
      <c r="L436" s="2014"/>
      <c r="M436" s="2014"/>
      <c r="N436" s="2014"/>
      <c r="O436" s="2014"/>
      <c r="P436" s="2014"/>
      <c r="Q436" s="2014"/>
      <c r="R436" s="2014"/>
      <c r="S436" s="2014"/>
      <c r="T436" s="2014"/>
      <c r="U436" s="2014"/>
      <c r="V436" s="2014"/>
      <c r="W436" s="2014"/>
      <c r="X436" s="2014"/>
      <c r="Y436" s="2014"/>
      <c r="Z436" s="2014"/>
      <c r="AA436" s="2014"/>
      <c r="AB436" s="2014"/>
      <c r="AC436" s="2014"/>
      <c r="AD436" s="2014"/>
      <c r="AE436" s="2014"/>
      <c r="AF436" s="625"/>
      <c r="AG436" s="625"/>
      <c r="AH436" s="625"/>
      <c r="AI436" s="625"/>
      <c r="AJ436" s="625"/>
      <c r="AK436" s="625"/>
      <c r="AL436" s="754"/>
      <c r="AM436" s="604"/>
      <c r="AN436" s="631"/>
    </row>
    <row r="437" spans="1:40" s="584" customFormat="1" ht="12.75" customHeight="1">
      <c r="A437" s="570"/>
      <c r="B437" s="14"/>
      <c r="C437" s="785"/>
      <c r="D437" s="764"/>
      <c r="E437" s="753"/>
      <c r="F437" s="2014"/>
      <c r="G437" s="2014"/>
      <c r="H437" s="2014"/>
      <c r="I437" s="2014"/>
      <c r="J437" s="2014"/>
      <c r="K437" s="2014"/>
      <c r="L437" s="2014"/>
      <c r="M437" s="2014"/>
      <c r="N437" s="2014"/>
      <c r="O437" s="2014"/>
      <c r="P437" s="2014"/>
      <c r="Q437" s="2014"/>
      <c r="R437" s="2014"/>
      <c r="S437" s="2014"/>
      <c r="T437" s="2014"/>
      <c r="U437" s="2014"/>
      <c r="V437" s="2014"/>
      <c r="W437" s="2014"/>
      <c r="X437" s="2014"/>
      <c r="Y437" s="2014"/>
      <c r="Z437" s="2014"/>
      <c r="AA437" s="2014"/>
      <c r="AB437" s="2014"/>
      <c r="AC437" s="2014"/>
      <c r="AD437" s="2014"/>
      <c r="AE437" s="2014"/>
      <c r="AL437" s="766"/>
      <c r="AM437" s="604"/>
      <c r="AN437" s="631"/>
    </row>
    <row r="438" spans="1:40" s="584" customFormat="1" ht="12.75" customHeight="1">
      <c r="A438" s="570"/>
      <c r="B438" s="14"/>
      <c r="C438" s="2010" t="s">
        <v>600</v>
      </c>
      <c r="D438" s="1967"/>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6" t="s">
        <v>1574</v>
      </c>
      <c r="AG438" s="1936"/>
      <c r="AH438" s="1936"/>
      <c r="AI438" s="1936"/>
      <c r="AJ438" s="1936"/>
      <c r="AK438" s="1936"/>
      <c r="AL438" s="201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6" t="s">
        <v>600</v>
      </c>
      <c r="D442" s="2017"/>
      <c r="E442" s="749" t="s">
        <v>1609</v>
      </c>
      <c r="F442" s="2013" t="s">
        <v>1610</v>
      </c>
      <c r="G442" s="2013"/>
      <c r="H442" s="2013"/>
      <c r="I442" s="2013"/>
      <c r="J442" s="2013"/>
      <c r="K442" s="2013"/>
      <c r="L442" s="2013"/>
      <c r="M442" s="2013"/>
      <c r="N442" s="2013"/>
      <c r="O442" s="2013"/>
      <c r="P442" s="2013"/>
      <c r="Q442" s="2013"/>
      <c r="R442" s="2013"/>
      <c r="S442" s="2013"/>
      <c r="T442" s="2013"/>
      <c r="U442" s="2013"/>
      <c r="V442" s="2013"/>
      <c r="W442" s="2013"/>
      <c r="X442" s="2013"/>
      <c r="Y442" s="2013"/>
      <c r="Z442" s="2013"/>
      <c r="AA442" s="2013"/>
      <c r="AB442" s="2013"/>
      <c r="AC442" s="2013"/>
      <c r="AD442" s="2013"/>
      <c r="AE442" s="2013"/>
      <c r="AF442" s="2034" t="s">
        <v>1574</v>
      </c>
      <c r="AG442" s="2034"/>
      <c r="AH442" s="2034"/>
      <c r="AI442" s="2034"/>
      <c r="AJ442" s="2034"/>
      <c r="AK442" s="2034"/>
      <c r="AL442" s="2035"/>
      <c r="AM442" s="604"/>
      <c r="AN442" s="787"/>
    </row>
    <row r="443" spans="1:40" s="584" customFormat="1" ht="12.75" customHeight="1">
      <c r="A443" s="570"/>
      <c r="B443" s="14"/>
      <c r="C443" s="785"/>
      <c r="D443" s="764"/>
      <c r="E443" s="753"/>
      <c r="F443" s="2014"/>
      <c r="G443" s="2014"/>
      <c r="H443" s="2014"/>
      <c r="I443" s="2014"/>
      <c r="J443" s="2014"/>
      <c r="K443" s="2014"/>
      <c r="L443" s="2014"/>
      <c r="M443" s="2014"/>
      <c r="N443" s="2014"/>
      <c r="O443" s="2014"/>
      <c r="P443" s="2014"/>
      <c r="Q443" s="2014"/>
      <c r="R443" s="2014"/>
      <c r="S443" s="2014"/>
      <c r="T443" s="2014"/>
      <c r="U443" s="2014"/>
      <c r="V443" s="2014"/>
      <c r="W443" s="2014"/>
      <c r="X443" s="2014"/>
      <c r="Y443" s="2014"/>
      <c r="Z443" s="2014"/>
      <c r="AA443" s="2014"/>
      <c r="AB443" s="2014"/>
      <c r="AC443" s="2014"/>
      <c r="AD443" s="2014"/>
      <c r="AE443" s="2014"/>
      <c r="AF443" s="625"/>
      <c r="AG443" s="625"/>
      <c r="AH443" s="625"/>
      <c r="AI443" s="625"/>
      <c r="AJ443" s="625"/>
      <c r="AK443" s="625"/>
      <c r="AL443" s="754"/>
      <c r="AM443" s="604"/>
      <c r="AN443" s="788"/>
    </row>
    <row r="444" spans="1:40" s="584" customFormat="1" ht="17.649999999999999" customHeight="1">
      <c r="A444" s="570"/>
      <c r="B444" s="14"/>
      <c r="C444" s="790"/>
      <c r="D444" s="757"/>
      <c r="E444" s="758"/>
      <c r="F444" s="2033"/>
      <c r="G444" s="2033"/>
      <c r="H444" s="2033"/>
      <c r="I444" s="2033"/>
      <c r="J444" s="2033"/>
      <c r="K444" s="2033"/>
      <c r="L444" s="2033"/>
      <c r="M444" s="2033"/>
      <c r="N444" s="2033"/>
      <c r="O444" s="2033"/>
      <c r="P444" s="2033"/>
      <c r="Q444" s="2033"/>
      <c r="R444" s="2033"/>
      <c r="S444" s="2033"/>
      <c r="T444" s="2033"/>
      <c r="U444" s="2033"/>
      <c r="V444" s="2033"/>
      <c r="W444" s="2033"/>
      <c r="X444" s="2033"/>
      <c r="Y444" s="2033"/>
      <c r="Z444" s="2033"/>
      <c r="AA444" s="2033"/>
      <c r="AB444" s="2033"/>
      <c r="AC444" s="2033"/>
      <c r="AD444" s="2033"/>
      <c r="AE444" s="2033"/>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0" t="s">
        <v>600</v>
      </c>
      <c r="D446" s="1967"/>
      <c r="E446" s="749" t="s">
        <v>1615</v>
      </c>
      <c r="F446" s="2013" t="s">
        <v>1616</v>
      </c>
      <c r="G446" s="2013"/>
      <c r="H446" s="2013"/>
      <c r="I446" s="2013"/>
      <c r="J446" s="2013"/>
      <c r="K446" s="2013"/>
      <c r="L446" s="2013"/>
      <c r="M446" s="2013"/>
      <c r="N446" s="2013"/>
      <c r="O446" s="2013"/>
      <c r="P446" s="2013"/>
      <c r="Q446" s="2013"/>
      <c r="R446" s="2013"/>
      <c r="S446" s="2013"/>
      <c r="T446" s="2013"/>
      <c r="U446" s="2013"/>
      <c r="V446" s="2013"/>
      <c r="W446" s="2013"/>
      <c r="X446" s="2013"/>
      <c r="Y446" s="2013"/>
      <c r="Z446" s="2013"/>
      <c r="AA446" s="2013"/>
      <c r="AB446" s="2013"/>
      <c r="AC446" s="2013"/>
      <c r="AD446" s="2013"/>
      <c r="AE446" s="2013"/>
      <c r="AF446" s="2034" t="s">
        <v>1574</v>
      </c>
      <c r="AG446" s="2034"/>
      <c r="AH446" s="2034"/>
      <c r="AI446" s="2034"/>
      <c r="AJ446" s="2034"/>
      <c r="AK446" s="2034"/>
      <c r="AL446" s="2035"/>
      <c r="AM446" s="604"/>
      <c r="AN446" s="569"/>
    </row>
    <row r="447" spans="1:40" s="584" customFormat="1" ht="12.75" customHeight="1">
      <c r="A447" s="570"/>
      <c r="B447" s="14"/>
      <c r="C447" s="765"/>
      <c r="D447" s="14"/>
      <c r="E447" s="725"/>
      <c r="F447" s="2014"/>
      <c r="G447" s="2014"/>
      <c r="H447" s="2014"/>
      <c r="I447" s="2014"/>
      <c r="J447" s="2014"/>
      <c r="K447" s="2014"/>
      <c r="L447" s="2014"/>
      <c r="M447" s="2014"/>
      <c r="N447" s="2014"/>
      <c r="O447" s="2014"/>
      <c r="P447" s="2014"/>
      <c r="Q447" s="2014"/>
      <c r="R447" s="2014"/>
      <c r="S447" s="2014"/>
      <c r="T447" s="2014"/>
      <c r="U447" s="2014"/>
      <c r="V447" s="2014"/>
      <c r="W447" s="2014"/>
      <c r="X447" s="2014"/>
      <c r="Y447" s="2014"/>
      <c r="Z447" s="2014"/>
      <c r="AA447" s="2014"/>
      <c r="AB447" s="2014"/>
      <c r="AC447" s="2014"/>
      <c r="AD447" s="2014"/>
      <c r="AE447" s="2014"/>
      <c r="AF447" s="573"/>
      <c r="AG447" s="570"/>
      <c r="AL447" s="766"/>
      <c r="AM447" s="604"/>
      <c r="AN447" s="569"/>
    </row>
    <row r="448" spans="1:40" s="584" customFormat="1" ht="12.75" customHeight="1">
      <c r="A448" s="570"/>
      <c r="B448" s="14"/>
      <c r="C448" s="765"/>
      <c r="D448" s="14"/>
      <c r="E448" s="725"/>
      <c r="F448" s="2014"/>
      <c r="G448" s="2014"/>
      <c r="H448" s="2014"/>
      <c r="I448" s="2014"/>
      <c r="J448" s="2014"/>
      <c r="K448" s="2014"/>
      <c r="L448" s="2014"/>
      <c r="M448" s="2014"/>
      <c r="N448" s="2014"/>
      <c r="O448" s="2014"/>
      <c r="P448" s="2014"/>
      <c r="Q448" s="2014"/>
      <c r="R448" s="2014"/>
      <c r="S448" s="2014"/>
      <c r="T448" s="2014"/>
      <c r="U448" s="2014"/>
      <c r="V448" s="2014"/>
      <c r="W448" s="2014"/>
      <c r="X448" s="2014"/>
      <c r="Y448" s="2014"/>
      <c r="Z448" s="2014"/>
      <c r="AA448" s="2014"/>
      <c r="AB448" s="2014"/>
      <c r="AC448" s="2014"/>
      <c r="AD448" s="2014"/>
      <c r="AE448" s="2014"/>
      <c r="AF448" s="573"/>
      <c r="AG448" s="570"/>
      <c r="AL448" s="766"/>
      <c r="AM448" s="604"/>
      <c r="AN448" s="569"/>
    </row>
    <row r="449" spans="1:48" s="584" customFormat="1" ht="12.75" customHeight="1">
      <c r="A449" s="570"/>
      <c r="B449" s="14"/>
      <c r="C449" s="790"/>
      <c r="D449" s="757"/>
      <c r="E449" s="758"/>
      <c r="F449" s="2033"/>
      <c r="G449" s="2033"/>
      <c r="H449" s="2033"/>
      <c r="I449" s="2033"/>
      <c r="J449" s="2033"/>
      <c r="K449" s="2033"/>
      <c r="L449" s="2033"/>
      <c r="M449" s="2033"/>
      <c r="N449" s="2033"/>
      <c r="O449" s="2033"/>
      <c r="P449" s="2033"/>
      <c r="Q449" s="2033"/>
      <c r="R449" s="2033"/>
      <c r="S449" s="2033"/>
      <c r="T449" s="2033"/>
      <c r="U449" s="2033"/>
      <c r="V449" s="2033"/>
      <c r="W449" s="2033"/>
      <c r="X449" s="2033"/>
      <c r="Y449" s="2033"/>
      <c r="Z449" s="2033"/>
      <c r="AA449" s="2033"/>
      <c r="AB449" s="2033"/>
      <c r="AC449" s="2033"/>
      <c r="AD449" s="2033"/>
      <c r="AE449" s="2033"/>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2013" t="s">
        <v>1619</v>
      </c>
      <c r="G451" s="2013"/>
      <c r="H451" s="2013"/>
      <c r="I451" s="2013"/>
      <c r="J451" s="2013"/>
      <c r="K451" s="2013"/>
      <c r="L451" s="2013"/>
      <c r="M451" s="2013"/>
      <c r="N451" s="2013"/>
      <c r="O451" s="2013"/>
      <c r="P451" s="2013"/>
      <c r="Q451" s="2013"/>
      <c r="R451" s="2013"/>
      <c r="S451" s="2013"/>
      <c r="T451" s="2013"/>
      <c r="U451" s="2013"/>
      <c r="V451" s="2013"/>
      <c r="W451" s="2013"/>
      <c r="X451" s="2013"/>
      <c r="Y451" s="2013"/>
      <c r="Z451" s="2013"/>
      <c r="AA451" s="2013"/>
      <c r="AB451" s="2013"/>
      <c r="AC451" s="2013"/>
      <c r="AD451" s="2013"/>
      <c r="AE451" s="2013"/>
      <c r="AF451" s="2013"/>
      <c r="AG451" s="778"/>
      <c r="AH451" s="748"/>
      <c r="AI451" s="748"/>
      <c r="AJ451" s="748"/>
      <c r="AK451" s="748"/>
      <c r="AL451" s="779"/>
      <c r="AM451" s="604"/>
      <c r="AN451" s="631"/>
    </row>
    <row r="452" spans="1:48" s="584" customFormat="1" ht="12.75" customHeight="1">
      <c r="A452" s="570"/>
      <c r="B452" s="14"/>
      <c r="C452" s="765"/>
      <c r="D452" s="14"/>
      <c r="E452" s="725"/>
      <c r="F452" s="2014"/>
      <c r="G452" s="2014"/>
      <c r="H452" s="2014"/>
      <c r="I452" s="2014"/>
      <c r="J452" s="2014"/>
      <c r="K452" s="2014"/>
      <c r="L452" s="2014"/>
      <c r="M452" s="2014"/>
      <c r="N452" s="2014"/>
      <c r="O452" s="2014"/>
      <c r="P452" s="2014"/>
      <c r="Q452" s="2014"/>
      <c r="R452" s="2014"/>
      <c r="S452" s="2014"/>
      <c r="T452" s="2014"/>
      <c r="U452" s="2014"/>
      <c r="V452" s="2014"/>
      <c r="W452" s="2014"/>
      <c r="X452" s="2014"/>
      <c r="Y452" s="2014"/>
      <c r="Z452" s="2014"/>
      <c r="AA452" s="2014"/>
      <c r="AB452" s="2014"/>
      <c r="AC452" s="2014"/>
      <c r="AD452" s="2014"/>
      <c r="AE452" s="2014"/>
      <c r="AF452" s="2014"/>
      <c r="AL452" s="766"/>
      <c r="AM452" s="604"/>
      <c r="AN452" s="631"/>
    </row>
    <row r="453" spans="1:48" s="584" customFormat="1" ht="12.75" customHeight="1">
      <c r="A453" s="570"/>
      <c r="B453" s="14"/>
      <c r="C453" s="773"/>
      <c r="F453" s="2014"/>
      <c r="G453" s="2014"/>
      <c r="H453" s="2014"/>
      <c r="I453" s="2014"/>
      <c r="J453" s="2014"/>
      <c r="K453" s="2014"/>
      <c r="L453" s="2014"/>
      <c r="M453" s="2014"/>
      <c r="N453" s="2014"/>
      <c r="O453" s="2014"/>
      <c r="P453" s="2014"/>
      <c r="Q453" s="2014"/>
      <c r="R453" s="2014"/>
      <c r="S453" s="2014"/>
      <c r="T453" s="2014"/>
      <c r="U453" s="2014"/>
      <c r="V453" s="2014"/>
      <c r="W453" s="2014"/>
      <c r="X453" s="2014"/>
      <c r="Y453" s="2014"/>
      <c r="Z453" s="2014"/>
      <c r="AA453" s="2014"/>
      <c r="AB453" s="2014"/>
      <c r="AC453" s="2014"/>
      <c r="AD453" s="2014"/>
      <c r="AE453" s="2014"/>
      <c r="AF453" s="2014"/>
      <c r="AL453" s="766"/>
      <c r="AM453" s="604"/>
      <c r="AN453" s="631"/>
    </row>
    <row r="454" spans="1:48" s="584" customFormat="1" ht="12.75" customHeight="1">
      <c r="A454" s="570"/>
      <c r="B454" s="14"/>
      <c r="C454" s="773"/>
      <c r="F454" s="2014"/>
      <c r="G454" s="2014"/>
      <c r="H454" s="2014"/>
      <c r="I454" s="2014"/>
      <c r="J454" s="2014"/>
      <c r="K454" s="2014"/>
      <c r="L454" s="2014"/>
      <c r="M454" s="2014"/>
      <c r="N454" s="2014"/>
      <c r="O454" s="2014"/>
      <c r="P454" s="2014"/>
      <c r="Q454" s="2014"/>
      <c r="R454" s="2014"/>
      <c r="S454" s="2014"/>
      <c r="T454" s="2014"/>
      <c r="U454" s="2014"/>
      <c r="V454" s="2014"/>
      <c r="W454" s="2014"/>
      <c r="X454" s="2014"/>
      <c r="Y454" s="2014"/>
      <c r="Z454" s="2014"/>
      <c r="AA454" s="2014"/>
      <c r="AB454" s="2014"/>
      <c r="AC454" s="2014"/>
      <c r="AD454" s="2014"/>
      <c r="AE454" s="2014"/>
      <c r="AF454" s="2014"/>
      <c r="AL454" s="766"/>
      <c r="AM454" s="604"/>
      <c r="AN454" s="631"/>
    </row>
    <row r="455" spans="1:48" s="584" customFormat="1" ht="12.75" customHeight="1">
      <c r="A455" s="570"/>
      <c r="B455" s="14"/>
      <c r="C455" s="2010" t="s">
        <v>600</v>
      </c>
      <c r="D455" s="1967"/>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1" t="s">
        <v>1574</v>
      </c>
      <c r="AG455" s="2011"/>
      <c r="AH455" s="2011"/>
      <c r="AI455" s="2011"/>
      <c r="AJ455" s="2011"/>
      <c r="AK455" s="2011"/>
      <c r="AL455" s="2012"/>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70">
        <f>IF(Application!D214="N/A",AS347,AS349)</f>
        <v>12</v>
      </c>
      <c r="AL458" s="1971"/>
      <c r="AM458" s="1972"/>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2011" t="s">
        <v>1623</v>
      </c>
      <c r="AF461" s="2011"/>
      <c r="AG461" s="2011"/>
      <c r="AH461" s="2011"/>
      <c r="AI461" s="2011"/>
      <c r="AJ461" s="2011"/>
      <c r="AK461" s="2011"/>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36" t="s">
        <v>600</v>
      </c>
      <c r="D467" s="2037"/>
      <c r="E467" s="795" t="s">
        <v>516</v>
      </c>
      <c r="F467" s="2038" t="s">
        <v>1629</v>
      </c>
      <c r="G467" s="2038"/>
      <c r="H467" s="2038"/>
      <c r="I467" s="2038"/>
      <c r="J467" s="2038"/>
      <c r="K467" s="2038"/>
      <c r="L467" s="2038"/>
      <c r="M467" s="2038"/>
      <c r="N467" s="2038"/>
      <c r="O467" s="2038"/>
      <c r="P467" s="2038"/>
      <c r="Q467" s="2038"/>
      <c r="R467" s="2038"/>
      <c r="S467" s="2038"/>
      <c r="T467" s="2038"/>
      <c r="U467" s="2038"/>
      <c r="V467" s="2038"/>
      <c r="W467" s="2038"/>
      <c r="X467" s="2038"/>
      <c r="Y467" s="2038"/>
      <c r="Z467" s="2038"/>
      <c r="AA467" s="2038"/>
      <c r="AB467" s="2038"/>
      <c r="AC467" s="2038"/>
      <c r="AD467" s="2038"/>
      <c r="AE467" s="2038"/>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39"/>
      <c r="G468" s="2039"/>
      <c r="H468" s="2039"/>
      <c r="I468" s="2039"/>
      <c r="J468" s="2039"/>
      <c r="K468" s="2039"/>
      <c r="L468" s="2039"/>
      <c r="M468" s="2039"/>
      <c r="N468" s="2039"/>
      <c r="O468" s="2039"/>
      <c r="P468" s="2039"/>
      <c r="Q468" s="2039"/>
      <c r="R468" s="2039"/>
      <c r="S468" s="2039"/>
      <c r="T468" s="2039"/>
      <c r="U468" s="2039"/>
      <c r="V468" s="2039"/>
      <c r="W468" s="2039"/>
      <c r="X468" s="2039"/>
      <c r="Y468" s="2039"/>
      <c r="Z468" s="2039"/>
      <c r="AA468" s="2039"/>
      <c r="AB468" s="2039"/>
      <c r="AC468" s="2039"/>
      <c r="AD468" s="2039"/>
      <c r="AE468" s="2039"/>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40" t="s">
        <v>600</v>
      </c>
      <c r="G469" s="2040"/>
      <c r="H469" s="2040"/>
      <c r="I469" s="2040"/>
      <c r="J469" s="2040"/>
      <c r="K469" s="2040"/>
      <c r="L469" s="2040"/>
      <c r="M469" s="2040"/>
      <c r="N469" s="2040"/>
      <c r="O469" s="2040"/>
      <c r="P469" s="2040"/>
      <c r="Q469" s="2040"/>
      <c r="R469" s="2040"/>
      <c r="S469" s="2040"/>
      <c r="T469" s="2040"/>
      <c r="U469" s="2040"/>
      <c r="V469" s="2040"/>
      <c r="W469" s="2040"/>
      <c r="X469" s="2040"/>
      <c r="Y469" s="2040"/>
      <c r="Z469" s="2040"/>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41" t="s">
        <v>554</v>
      </c>
      <c r="D471" s="2042"/>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2048" t="s">
        <v>600</v>
      </c>
      <c r="W474" s="2048"/>
      <c r="X474" s="2048"/>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2048" t="s">
        <v>600</v>
      </c>
      <c r="W476" s="2048"/>
      <c r="X476" s="2048"/>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2048" t="s">
        <v>600</v>
      </c>
      <c r="W481" s="2048"/>
      <c r="X481" s="2048"/>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7"/>
      <c r="E484" s="2047"/>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2048" t="s">
        <v>600</v>
      </c>
      <c r="W485" s="2048"/>
      <c r="X485" s="2048"/>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2048" t="s">
        <v>600</v>
      </c>
      <c r="W487" s="2048"/>
      <c r="X487" s="2048"/>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6" t="s">
        <v>600</v>
      </c>
      <c r="D490" s="2037"/>
      <c r="E490" s="795" t="s">
        <v>516</v>
      </c>
      <c r="F490" s="2038" t="s">
        <v>1629</v>
      </c>
      <c r="G490" s="2038"/>
      <c r="H490" s="2038"/>
      <c r="I490" s="2038"/>
      <c r="J490" s="2038"/>
      <c r="K490" s="2038"/>
      <c r="L490" s="2038"/>
      <c r="M490" s="2038"/>
      <c r="N490" s="2038"/>
      <c r="O490" s="2038"/>
      <c r="P490" s="2038"/>
      <c r="Q490" s="2038"/>
      <c r="R490" s="2038"/>
      <c r="S490" s="2038"/>
      <c r="T490" s="2038"/>
      <c r="U490" s="2038"/>
      <c r="V490" s="2038"/>
      <c r="W490" s="2038"/>
      <c r="X490" s="2038"/>
      <c r="Y490" s="2038"/>
      <c r="Z490" s="2038"/>
      <c r="AA490" s="2038"/>
      <c r="AB490" s="2038"/>
      <c r="AC490" s="2038"/>
      <c r="AD490" s="2038"/>
      <c r="AE490" s="203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9"/>
      <c r="G491" s="2039"/>
      <c r="H491" s="2039"/>
      <c r="I491" s="2039"/>
      <c r="J491" s="2039"/>
      <c r="K491" s="2039"/>
      <c r="L491" s="2039"/>
      <c r="M491" s="2039"/>
      <c r="N491" s="2039"/>
      <c r="O491" s="2039"/>
      <c r="P491" s="2039"/>
      <c r="Q491" s="2039"/>
      <c r="R491" s="2039"/>
      <c r="S491" s="2039"/>
      <c r="T491" s="2039"/>
      <c r="U491" s="2039"/>
      <c r="V491" s="2039"/>
      <c r="W491" s="2039"/>
      <c r="X491" s="2039"/>
      <c r="Y491" s="2039"/>
      <c r="Z491" s="2039"/>
      <c r="AA491" s="2039"/>
      <c r="AB491" s="2039"/>
      <c r="AC491" s="2039"/>
      <c r="AD491" s="2039"/>
      <c r="AE491" s="203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3" t="s">
        <v>600</v>
      </c>
      <c r="G492" s="2043"/>
      <c r="H492" s="2043"/>
      <c r="I492" s="2043"/>
      <c r="J492" s="2043"/>
      <c r="K492" s="2043"/>
      <c r="L492" s="2043"/>
      <c r="M492" s="2043"/>
      <c r="N492" s="2043"/>
      <c r="O492" s="2043"/>
      <c r="P492" s="2043"/>
      <c r="Q492" s="2043"/>
      <c r="R492" s="2043"/>
      <c r="S492" s="2043"/>
      <c r="T492" s="2043"/>
      <c r="U492" s="2043"/>
      <c r="V492" s="2043"/>
      <c r="W492" s="2043"/>
      <c r="X492" s="2043"/>
      <c r="Y492" s="2043"/>
      <c r="Z492" s="2043"/>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6" t="s">
        <v>600</v>
      </c>
      <c r="D494" s="2037"/>
      <c r="E494" s="795" t="s">
        <v>767</v>
      </c>
      <c r="F494" s="2044" t="s">
        <v>1651</v>
      </c>
      <c r="G494" s="2044"/>
      <c r="H494" s="2044"/>
      <c r="I494" s="2044"/>
      <c r="J494" s="2044"/>
      <c r="K494" s="2044"/>
      <c r="L494" s="2044"/>
      <c r="M494" s="2044"/>
      <c r="N494" s="2044"/>
      <c r="O494" s="2044"/>
      <c r="P494" s="2044"/>
      <c r="Q494" s="2044"/>
      <c r="R494" s="2044"/>
      <c r="S494" s="2044"/>
      <c r="T494" s="2044"/>
      <c r="U494" s="2044"/>
      <c r="V494" s="2044"/>
      <c r="W494" s="2044"/>
      <c r="X494" s="2044"/>
      <c r="Y494" s="2044"/>
      <c r="Z494" s="2044"/>
      <c r="AA494" s="2044"/>
      <c r="AB494" s="2044"/>
      <c r="AC494" s="2044"/>
      <c r="AD494" s="2044"/>
      <c r="AE494" s="204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5"/>
      <c r="G495" s="2045"/>
      <c r="H495" s="2045"/>
      <c r="I495" s="2045"/>
      <c r="J495" s="2045"/>
      <c r="K495" s="2045"/>
      <c r="L495" s="2045"/>
      <c r="M495" s="2045"/>
      <c r="N495" s="2045"/>
      <c r="O495" s="2045"/>
      <c r="P495" s="2045"/>
      <c r="Q495" s="2045"/>
      <c r="R495" s="2045"/>
      <c r="S495" s="2045"/>
      <c r="T495" s="2045"/>
      <c r="U495" s="2045"/>
      <c r="V495" s="2045"/>
      <c r="W495" s="2045"/>
      <c r="X495" s="2045"/>
      <c r="Y495" s="2045"/>
      <c r="Z495" s="2045"/>
      <c r="AA495" s="2045"/>
      <c r="AB495" s="2045"/>
      <c r="AC495" s="2045"/>
      <c r="AD495" s="2045"/>
      <c r="AE495" s="204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46" t="s">
        <v>600</v>
      </c>
      <c r="G497" s="2046"/>
      <c r="H497" s="204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36" t="s">
        <v>600</v>
      </c>
      <c r="D499" s="2037"/>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59"/>
      <c r="D501" s="2047"/>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0" t="s">
        <v>600</v>
      </c>
      <c r="H502" s="2060"/>
      <c r="I502" s="2060"/>
      <c r="J502" s="2060"/>
      <c r="K502" s="2060"/>
      <c r="L502" s="2060"/>
      <c r="M502" s="2060"/>
      <c r="N502" s="2060"/>
      <c r="O502" s="2060"/>
      <c r="P502" s="2060"/>
      <c r="Q502" s="2060"/>
      <c r="R502" s="2060"/>
      <c r="S502" s="2060"/>
      <c r="T502" s="2060"/>
      <c r="U502" s="2060"/>
      <c r="V502" s="2060"/>
      <c r="W502" s="2060"/>
      <c r="X502" s="2060"/>
      <c r="Y502" s="2060"/>
      <c r="Z502" s="2060"/>
      <c r="AA502" s="2060"/>
      <c r="AB502" s="2060"/>
      <c r="AC502" s="2060"/>
      <c r="AD502" s="2060"/>
      <c r="AE502" s="2060"/>
      <c r="AF502" s="206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1" t="s">
        <v>600</v>
      </c>
      <c r="D504" s="2062"/>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1" t="s">
        <v>600</v>
      </c>
      <c r="D508" s="2062"/>
      <c r="F508" s="829" t="s">
        <v>1659</v>
      </c>
      <c r="G508" s="2014" t="s">
        <v>1660</v>
      </c>
      <c r="H508" s="2014"/>
      <c r="I508" s="2014"/>
      <c r="J508" s="2014"/>
      <c r="K508" s="2014"/>
      <c r="L508" s="2014"/>
      <c r="M508" s="2014"/>
      <c r="N508" s="2014"/>
      <c r="O508" s="2014"/>
      <c r="P508" s="2014"/>
      <c r="Q508" s="2014"/>
      <c r="R508" s="2014"/>
      <c r="S508" s="2014"/>
      <c r="T508" s="2014"/>
      <c r="U508" s="2014"/>
      <c r="V508" s="2014"/>
      <c r="W508" s="2014"/>
      <c r="X508" s="2014"/>
      <c r="Y508" s="2014"/>
      <c r="Z508" s="2014"/>
      <c r="AA508" s="2014"/>
      <c r="AB508" s="2014"/>
      <c r="AC508" s="2014"/>
      <c r="AD508" s="2014"/>
      <c r="AE508" s="2014"/>
      <c r="AF508" s="2014"/>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3"/>
      <c r="H509" s="2033"/>
      <c r="I509" s="2033"/>
      <c r="J509" s="2033"/>
      <c r="K509" s="2033"/>
      <c r="L509" s="2033"/>
      <c r="M509" s="2033"/>
      <c r="N509" s="2033"/>
      <c r="O509" s="2033"/>
      <c r="P509" s="2033"/>
      <c r="Q509" s="2033"/>
      <c r="R509" s="2033"/>
      <c r="S509" s="2033"/>
      <c r="T509" s="2033"/>
      <c r="U509" s="2033"/>
      <c r="V509" s="2033"/>
      <c r="W509" s="2033"/>
      <c r="X509" s="2033"/>
      <c r="Y509" s="2033"/>
      <c r="Z509" s="2033"/>
      <c r="AA509" s="2033"/>
      <c r="AB509" s="2033"/>
      <c r="AC509" s="2033"/>
      <c r="AD509" s="2033"/>
      <c r="AE509" s="2033"/>
      <c r="AF509" s="203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9" t="s">
        <v>600</v>
      </c>
      <c r="D512" s="2050"/>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1" t="s">
        <v>600</v>
      </c>
      <c r="G513" s="2051"/>
      <c r="H513" s="2051"/>
      <c r="I513" s="2051"/>
      <c r="J513" s="2051"/>
      <c r="K513" s="2051"/>
      <c r="L513" s="2051"/>
      <c r="M513" s="2051"/>
      <c r="N513" s="2051"/>
      <c r="O513" s="2051"/>
      <c r="P513" s="2051"/>
      <c r="Q513" s="2051"/>
      <c r="R513" s="2051"/>
      <c r="S513" s="2051"/>
      <c r="T513" s="2051"/>
      <c r="U513" s="2051"/>
      <c r="V513" s="2051"/>
      <c r="W513" s="2051"/>
      <c r="X513" s="2051"/>
      <c r="Y513" s="2051"/>
      <c r="Z513" s="2051"/>
      <c r="AA513" s="2051"/>
      <c r="AB513" s="2051"/>
      <c r="AC513" s="2051"/>
      <c r="AD513" s="2051"/>
      <c r="AE513" s="2051"/>
      <c r="AF513" s="205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2"/>
      <c r="G514" s="2052"/>
      <c r="H514" s="2052"/>
      <c r="I514" s="2052"/>
      <c r="J514" s="2052"/>
      <c r="K514" s="2052"/>
      <c r="L514" s="2052"/>
      <c r="M514" s="2052"/>
      <c r="N514" s="2052"/>
      <c r="O514" s="2052"/>
      <c r="P514" s="2052"/>
      <c r="Q514" s="2052"/>
      <c r="R514" s="2052"/>
      <c r="S514" s="2052"/>
      <c r="T514" s="2052"/>
      <c r="U514" s="2052"/>
      <c r="V514" s="2052"/>
      <c r="W514" s="2052"/>
      <c r="X514" s="2052"/>
      <c r="Y514" s="2052"/>
      <c r="Z514" s="2052"/>
      <c r="AA514" s="2052"/>
      <c r="AB514" s="2052"/>
      <c r="AC514" s="2052"/>
      <c r="AD514" s="2052"/>
      <c r="AE514" s="2052"/>
      <c r="AF514" s="205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70">
        <f>SUM(AG468:AG513)</f>
        <v>0</v>
      </c>
      <c r="AL524" s="1971"/>
      <c r="AM524" s="1972"/>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4" t="s">
        <v>1672</v>
      </c>
      <c r="AF527" s="1904"/>
      <c r="AG527" s="1904"/>
      <c r="AH527" s="1904"/>
      <c r="AI527" s="1904"/>
      <c r="AJ527" s="1904"/>
      <c r="AK527" s="1904"/>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7" t="s">
        <v>554</v>
      </c>
      <c r="D530" s="1967"/>
      <c r="E530" s="585"/>
      <c r="F530" s="2053" t="s">
        <v>1673</v>
      </c>
      <c r="G530" s="2054"/>
      <c r="H530" s="2054"/>
      <c r="I530" s="2054"/>
      <c r="J530" s="2054"/>
      <c r="K530" s="2054"/>
      <c r="L530" s="2054"/>
      <c r="M530" s="2054"/>
      <c r="N530" s="2054"/>
      <c r="O530" s="2054"/>
      <c r="P530" s="2054"/>
      <c r="Q530" s="2054"/>
      <c r="R530" s="2054"/>
      <c r="S530" s="2054"/>
      <c r="T530" s="2054"/>
      <c r="U530" s="2054"/>
      <c r="V530" s="2054"/>
      <c r="W530" s="2054"/>
      <c r="X530" s="2054"/>
      <c r="Y530" s="2054"/>
      <c r="Z530" s="2054"/>
      <c r="AA530" s="2054"/>
      <c r="AB530" s="2054"/>
      <c r="AC530" s="2054"/>
      <c r="AD530" s="2054"/>
      <c r="AE530" s="2054"/>
      <c r="AF530" s="2054"/>
      <c r="AG530" s="2054"/>
      <c r="AH530" s="2054"/>
      <c r="AI530" s="2054"/>
      <c r="AJ530" s="2054"/>
      <c r="AK530" s="2054"/>
      <c r="AL530" s="2055"/>
      <c r="AM530" s="629"/>
      <c r="AN530" s="631"/>
    </row>
    <row r="531" spans="1:49" s="584" customFormat="1" ht="12.75" customHeight="1">
      <c r="A531" s="573"/>
      <c r="B531" s="573"/>
      <c r="C531" s="585"/>
      <c r="D531" s="585"/>
      <c r="E531" s="585"/>
      <c r="F531" s="2056"/>
      <c r="G531" s="2057"/>
      <c r="H531" s="2057"/>
      <c r="I531" s="2057"/>
      <c r="J531" s="2057"/>
      <c r="K531" s="2057"/>
      <c r="L531" s="2057"/>
      <c r="M531" s="2057"/>
      <c r="N531" s="2057"/>
      <c r="O531" s="2057"/>
      <c r="P531" s="2057"/>
      <c r="Q531" s="2057"/>
      <c r="R531" s="2057"/>
      <c r="S531" s="2057"/>
      <c r="T531" s="2057"/>
      <c r="U531" s="2057"/>
      <c r="V531" s="2057"/>
      <c r="W531" s="2057"/>
      <c r="X531" s="2057"/>
      <c r="Y531" s="2057"/>
      <c r="Z531" s="2057"/>
      <c r="AA531" s="2057"/>
      <c r="AB531" s="2057"/>
      <c r="AC531" s="2057"/>
      <c r="AD531" s="2057"/>
      <c r="AE531" s="2057"/>
      <c r="AF531" s="2057"/>
      <c r="AG531" s="2057"/>
      <c r="AH531" s="2057"/>
      <c r="AI531" s="2057"/>
      <c r="AJ531" s="2057"/>
      <c r="AK531" s="2057"/>
      <c r="AL531" s="205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7" t="s">
        <v>600</v>
      </c>
      <c r="D533" s="1967"/>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9" t="s">
        <v>1675</v>
      </c>
      <c r="G534" s="1990"/>
      <c r="H534" s="1990"/>
      <c r="I534" s="1990"/>
      <c r="J534" s="1990"/>
      <c r="K534" s="1990"/>
      <c r="L534" s="1990"/>
      <c r="M534" s="1990"/>
      <c r="N534" s="1990"/>
      <c r="O534" s="1990"/>
      <c r="P534" s="1990"/>
      <c r="Q534" s="1990"/>
      <c r="R534" s="1990"/>
      <c r="S534" s="1990"/>
      <c r="T534" s="1990"/>
      <c r="U534" s="1990"/>
      <c r="V534" s="1990"/>
      <c r="W534" s="1990"/>
      <c r="X534" s="1990"/>
      <c r="Y534" s="1990"/>
      <c r="Z534" s="1990"/>
      <c r="AA534" s="1990"/>
      <c r="AB534" s="1990"/>
      <c r="AC534" s="1990"/>
      <c r="AD534" s="1990"/>
      <c r="AE534" s="1990"/>
      <c r="AF534" s="1990"/>
      <c r="AG534" s="1990"/>
      <c r="AH534" s="1990"/>
      <c r="AI534" s="1990"/>
      <c r="AJ534" s="1990"/>
      <c r="AK534" s="1990"/>
      <c r="AL534" s="1991"/>
      <c r="AM534" s="629"/>
      <c r="AN534" s="631"/>
      <c r="AS534" s="904"/>
      <c r="AT534" s="904"/>
      <c r="AU534" s="904"/>
      <c r="AV534" s="904"/>
      <c r="AW534" s="904"/>
    </row>
    <row r="535" spans="1:49" s="584" customFormat="1" ht="12.75" customHeight="1">
      <c r="B535" s="840"/>
      <c r="C535" s="840"/>
      <c r="D535" s="840"/>
      <c r="E535" s="840"/>
      <c r="F535" s="1989"/>
      <c r="G535" s="1990"/>
      <c r="H535" s="1990"/>
      <c r="I535" s="1990"/>
      <c r="J535" s="1990"/>
      <c r="K535" s="1990"/>
      <c r="L535" s="1990"/>
      <c r="M535" s="1990"/>
      <c r="N535" s="1990"/>
      <c r="O535" s="1990"/>
      <c r="P535" s="1990"/>
      <c r="Q535" s="1990"/>
      <c r="R535" s="1990"/>
      <c r="S535" s="1990"/>
      <c r="T535" s="1990"/>
      <c r="U535" s="1990"/>
      <c r="V535" s="1990"/>
      <c r="W535" s="1990"/>
      <c r="X535" s="1990"/>
      <c r="Y535" s="1990"/>
      <c r="Z535" s="1990"/>
      <c r="AA535" s="1990"/>
      <c r="AB535" s="1990"/>
      <c r="AC535" s="1990"/>
      <c r="AD535" s="1990"/>
      <c r="AE535" s="1990"/>
      <c r="AF535" s="1990"/>
      <c r="AG535" s="1990"/>
      <c r="AH535" s="1990"/>
      <c r="AI535" s="1990"/>
      <c r="AJ535" s="1990"/>
      <c r="AK535" s="1990"/>
      <c r="AL535" s="1991"/>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9" t="s">
        <v>1676</v>
      </c>
      <c r="G537" s="1990"/>
      <c r="H537" s="1990"/>
      <c r="I537" s="1990"/>
      <c r="J537" s="1990"/>
      <c r="K537" s="1990"/>
      <c r="L537" s="1990"/>
      <c r="M537" s="1990"/>
      <c r="N537" s="1990"/>
      <c r="O537" s="1990"/>
      <c r="P537" s="1990"/>
      <c r="Q537" s="1990"/>
      <c r="R537" s="1990"/>
      <c r="S537" s="1990"/>
      <c r="T537" s="1990"/>
      <c r="U537" s="1990"/>
      <c r="V537" s="1990"/>
      <c r="W537" s="1990"/>
      <c r="X537" s="1990"/>
      <c r="Y537" s="1990"/>
      <c r="Z537" s="1990"/>
      <c r="AA537" s="1990"/>
      <c r="AB537" s="1990"/>
      <c r="AC537" s="1990"/>
      <c r="AD537" s="1990"/>
      <c r="AE537" s="1990"/>
      <c r="AF537" s="1990"/>
      <c r="AG537" s="1990"/>
      <c r="AH537" s="1990"/>
      <c r="AI537" s="1990"/>
      <c r="AJ537" s="1990"/>
      <c r="AK537" s="1990"/>
      <c r="AL537" s="847"/>
      <c r="AM537" s="629"/>
      <c r="AN537" s="631"/>
    </row>
    <row r="538" spans="1:49" s="584" customFormat="1" ht="12.75" customHeight="1">
      <c r="B538" s="840"/>
      <c r="C538" s="840"/>
      <c r="D538" s="840"/>
      <c r="E538" s="840"/>
      <c r="F538" s="1992"/>
      <c r="G538" s="1993"/>
      <c r="H538" s="1993"/>
      <c r="I538" s="1993"/>
      <c r="J538" s="1993"/>
      <c r="K538" s="1993"/>
      <c r="L538" s="1993"/>
      <c r="M538" s="1993"/>
      <c r="N538" s="1993"/>
      <c r="O538" s="1993"/>
      <c r="P538" s="1993"/>
      <c r="Q538" s="1993"/>
      <c r="R538" s="1993"/>
      <c r="S538" s="1993"/>
      <c r="T538" s="1993"/>
      <c r="U538" s="1993"/>
      <c r="V538" s="1993"/>
      <c r="W538" s="1993"/>
      <c r="X538" s="1993"/>
      <c r="Y538" s="1993"/>
      <c r="Z538" s="1993"/>
      <c r="AA538" s="1993"/>
      <c r="AB538" s="1993"/>
      <c r="AC538" s="1993"/>
      <c r="AD538" s="1993"/>
      <c r="AE538" s="1993"/>
      <c r="AF538" s="1993"/>
      <c r="AG538" s="1993"/>
      <c r="AH538" s="1993"/>
      <c r="AI538" s="1993"/>
      <c r="AJ538" s="1993"/>
      <c r="AK538" s="199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7">
        <f>Application!AJ991</f>
        <v>63217967</v>
      </c>
      <c r="AQ539" s="2117"/>
      <c r="AR539" s="2117"/>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3">
        <f>'Sources and Uses Budget'!S107+'Sources and Uses Budget'!T107</f>
        <v>80788353.634844854</v>
      </c>
      <c r="AG540" s="1973"/>
      <c r="AH540" s="1973"/>
      <c r="AI540" s="1973"/>
      <c r="AJ540" s="1973"/>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2">
        <f>IFERROR(AP548,0)</f>
        <v>122642856.58</v>
      </c>
      <c r="AG541" s="2122"/>
      <c r="AH541" s="2122"/>
      <c r="AI541" s="2122"/>
      <c r="AJ541" s="2122"/>
      <c r="AK541" s="629"/>
      <c r="AL541" s="629"/>
      <c r="AM541" s="629"/>
      <c r="AN541" s="631"/>
      <c r="AP541" s="2117">
        <f>Application!AJ1044</f>
        <v>15172312.08</v>
      </c>
      <c r="AQ541" s="2117"/>
      <c r="AR541" s="2117"/>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3">
        <f>IFERROR(ROUNDDOWN(IF(C533="YES",((1-(AF540/AF541))*2),(1-(AF540/AF541))),2),0)</f>
        <v>0.34</v>
      </c>
      <c r="AG542" s="2123"/>
      <c r="AH542" s="2123"/>
      <c r="AI542" s="2123"/>
      <c r="AJ542" s="2123"/>
      <c r="AK542" s="629"/>
      <c r="AL542" s="629"/>
      <c r="AM542" s="629"/>
      <c r="AN542" s="631"/>
      <c r="AP542" s="2120">
        <f>Application!AJ1048</f>
        <v>31608983.5</v>
      </c>
      <c r="AQ542" s="2120"/>
      <c r="AR542" s="2120"/>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6">
        <f>IF(((AP541+AP542)/AP539)&gt;0.8,0.8,((AP541+AP542)/AP539))</f>
        <v>0.74</v>
      </c>
      <c r="AQ543" s="2116"/>
      <c r="AR543" s="2116"/>
      <c r="AS543" s="584" t="s">
        <v>2534</v>
      </c>
    </row>
    <row r="544" spans="1:49" s="584" customFormat="1" ht="12.75" customHeight="1">
      <c r="A544" s="658"/>
      <c r="B544" s="2069" t="s">
        <v>2346</v>
      </c>
      <c r="C544" s="2070"/>
      <c r="D544" s="2070"/>
      <c r="E544" s="2070"/>
      <c r="F544" s="2070"/>
      <c r="G544" s="2070"/>
      <c r="H544" s="2070"/>
      <c r="I544" s="2070"/>
      <c r="J544" s="2070"/>
      <c r="K544" s="2070"/>
      <c r="L544" s="2070"/>
      <c r="M544" s="2070"/>
      <c r="N544" s="2070"/>
      <c r="O544" s="2070"/>
      <c r="P544" s="2070"/>
      <c r="Q544" s="2070"/>
      <c r="R544" s="2070"/>
      <c r="S544" s="2070"/>
      <c r="T544" s="2070"/>
      <c r="U544" s="2070"/>
      <c r="V544" s="2070"/>
      <c r="W544" s="2070"/>
      <c r="X544" s="2070"/>
      <c r="Y544" s="2070"/>
      <c r="Z544" s="2070"/>
      <c r="AA544" s="2070"/>
      <c r="AB544" s="2070"/>
      <c r="AC544" s="2070"/>
      <c r="AD544" s="2070"/>
      <c r="AE544" s="2070"/>
      <c r="AF544" s="2070"/>
      <c r="AG544" s="2070"/>
      <c r="AH544" s="2070"/>
      <c r="AI544" s="2070"/>
      <c r="AJ544" s="2071"/>
      <c r="AK544" s="629"/>
      <c r="AL544" s="629"/>
      <c r="AM544" s="629"/>
      <c r="AN544" s="631"/>
    </row>
    <row r="545" spans="1:45" s="584" customFormat="1" ht="12.75" customHeight="1">
      <c r="A545" s="658"/>
      <c r="B545" s="2072"/>
      <c r="C545" s="2073"/>
      <c r="D545" s="2073"/>
      <c r="E545" s="2073"/>
      <c r="F545" s="2073"/>
      <c r="G545" s="2073"/>
      <c r="H545" s="2073"/>
      <c r="I545" s="2073"/>
      <c r="J545" s="2073"/>
      <c r="K545" s="2073"/>
      <c r="L545" s="2073"/>
      <c r="M545" s="2073"/>
      <c r="N545" s="2073"/>
      <c r="O545" s="2073"/>
      <c r="P545" s="2073"/>
      <c r="Q545" s="2073"/>
      <c r="R545" s="2073"/>
      <c r="S545" s="2073"/>
      <c r="T545" s="2073"/>
      <c r="U545" s="2073"/>
      <c r="V545" s="2073"/>
      <c r="W545" s="2073"/>
      <c r="X545" s="2073"/>
      <c r="Y545" s="2073"/>
      <c r="Z545" s="2073"/>
      <c r="AA545" s="2073"/>
      <c r="AB545" s="2073"/>
      <c r="AC545" s="2073"/>
      <c r="AD545" s="2073"/>
      <c r="AE545" s="2073"/>
      <c r="AF545" s="2073"/>
      <c r="AG545" s="2073"/>
      <c r="AH545" s="2073"/>
      <c r="AI545" s="2073"/>
      <c r="AJ545" s="2074"/>
      <c r="AK545" s="629"/>
      <c r="AL545" s="629"/>
      <c r="AM545" s="629"/>
      <c r="AN545" s="631"/>
      <c r="AP545" s="2117">
        <f>AP546-AP541-AP542</f>
        <v>75861561</v>
      </c>
      <c r="AQ545" s="2025"/>
      <c r="AR545" s="2025"/>
      <c r="AS545" s="584" t="s">
        <v>2536</v>
      </c>
    </row>
    <row r="546" spans="1:45" s="584" customFormat="1" ht="12.75" customHeight="1">
      <c r="A546" s="658"/>
      <c r="B546" s="2075"/>
      <c r="C546" s="2076"/>
      <c r="D546" s="2076"/>
      <c r="E546" s="2076"/>
      <c r="F546" s="2076"/>
      <c r="G546" s="2076"/>
      <c r="H546" s="2076"/>
      <c r="I546" s="2076"/>
      <c r="J546" s="2076"/>
      <c r="K546" s="2076"/>
      <c r="L546" s="2076"/>
      <c r="M546" s="2076"/>
      <c r="N546" s="2076"/>
      <c r="O546" s="2076"/>
      <c r="P546" s="2076"/>
      <c r="Q546" s="2076"/>
      <c r="R546" s="2076"/>
      <c r="S546" s="2076"/>
      <c r="T546" s="2076"/>
      <c r="U546" s="2076"/>
      <c r="V546" s="2076"/>
      <c r="W546" s="2076"/>
      <c r="X546" s="2076"/>
      <c r="Y546" s="2076"/>
      <c r="Z546" s="2076"/>
      <c r="AA546" s="2076"/>
      <c r="AB546" s="2076"/>
      <c r="AC546" s="2076"/>
      <c r="AD546" s="2076"/>
      <c r="AE546" s="2076"/>
      <c r="AF546" s="2076"/>
      <c r="AG546" s="2076"/>
      <c r="AH546" s="2076"/>
      <c r="AI546" s="2076"/>
      <c r="AJ546" s="2077"/>
      <c r="AK546" s="629"/>
      <c r="AL546" s="629"/>
      <c r="AM546" s="629"/>
      <c r="AN546" s="631"/>
      <c r="AP546" s="2117">
        <f>Application!AJ1052</f>
        <v>122642856.58</v>
      </c>
      <c r="AQ546" s="2117"/>
      <c r="AR546" s="2117"/>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2078">
        <f>IFERROR(IF(AND(C530="N/A",C533="N/A"),0,IF(AF542=0,0,IF((AF542*100)&gt;12,12,(AF542*100)))),0)</f>
        <v>12</v>
      </c>
      <c r="AL548" s="2078"/>
      <c r="AM548" s="2079"/>
      <c r="AN548" s="631"/>
      <c r="AP548" s="2133">
        <f>AP545+(AP539*AP543)</f>
        <v>122642856.58</v>
      </c>
      <c r="AQ548" s="2134"/>
      <c r="AR548" s="213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4" t="s">
        <v>1425</v>
      </c>
      <c r="AF551" s="1904"/>
      <c r="AG551" s="1904"/>
      <c r="AH551" s="1904"/>
      <c r="AI551" s="1904"/>
      <c r="AJ551" s="1904"/>
      <c r="AK551" s="190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0" t="s">
        <v>2337</v>
      </c>
      <c r="C553" s="1990"/>
      <c r="D553" s="1990"/>
      <c r="E553" s="1990"/>
      <c r="F553" s="1990"/>
      <c r="G553" s="1990"/>
      <c r="H553" s="1990"/>
      <c r="I553" s="1990"/>
      <c r="J553" s="1990"/>
      <c r="K553" s="1990"/>
      <c r="L553" s="1990"/>
      <c r="M553" s="1990"/>
      <c r="N553" s="1990"/>
      <c r="O553" s="1990"/>
      <c r="P553" s="1990"/>
      <c r="Q553" s="1990"/>
      <c r="R553" s="1990"/>
      <c r="S553" s="1990"/>
      <c r="T553" s="1990"/>
      <c r="U553" s="1990"/>
      <c r="V553" s="1990"/>
      <c r="W553" s="1990"/>
      <c r="X553" s="1990"/>
      <c r="Y553" s="1990"/>
      <c r="Z553" s="1990"/>
      <c r="AA553" s="1990"/>
      <c r="AB553" s="1990"/>
      <c r="AC553" s="1990"/>
      <c r="AD553" s="1990"/>
      <c r="AE553" s="1990"/>
      <c r="AF553" s="1990"/>
      <c r="AG553" s="1990"/>
      <c r="AH553" s="1990"/>
      <c r="AI553" s="1990"/>
      <c r="AJ553" s="1990"/>
      <c r="AK553" s="676"/>
      <c r="AL553" s="607"/>
      <c r="AM553" s="637"/>
      <c r="AN553" s="631"/>
    </row>
    <row r="554" spans="1:45" s="584" customFormat="1" ht="12.75" customHeight="1">
      <c r="A554" s="637"/>
      <c r="B554" s="1990"/>
      <c r="C554" s="1990"/>
      <c r="D554" s="1990"/>
      <c r="E554" s="1990"/>
      <c r="F554" s="1990"/>
      <c r="G554" s="1990"/>
      <c r="H554" s="1990"/>
      <c r="I554" s="1990"/>
      <c r="J554" s="1990"/>
      <c r="K554" s="1990"/>
      <c r="L554" s="1990"/>
      <c r="M554" s="1990"/>
      <c r="N554" s="1990"/>
      <c r="O554" s="1990"/>
      <c r="P554" s="1990"/>
      <c r="Q554" s="1990"/>
      <c r="R554" s="1990"/>
      <c r="S554" s="1990"/>
      <c r="T554" s="1990"/>
      <c r="U554" s="1990"/>
      <c r="V554" s="1990"/>
      <c r="W554" s="1990"/>
      <c r="X554" s="1990"/>
      <c r="Y554" s="1990"/>
      <c r="Z554" s="1990"/>
      <c r="AA554" s="1990"/>
      <c r="AB554" s="1990"/>
      <c r="AC554" s="1990"/>
      <c r="AD554" s="1990"/>
      <c r="AE554" s="1990"/>
      <c r="AF554" s="1990"/>
      <c r="AG554" s="1990"/>
      <c r="AH554" s="1990"/>
      <c r="AI554" s="1990"/>
      <c r="AJ554" s="1990"/>
      <c r="AK554" s="676"/>
      <c r="AL554" s="607"/>
      <c r="AM554" s="637"/>
      <c r="AN554" s="631"/>
    </row>
    <row r="555" spans="1:45" s="584" customFormat="1" ht="12.75" customHeight="1">
      <c r="A555" s="637"/>
      <c r="B555" s="1990"/>
      <c r="C555" s="1990"/>
      <c r="D555" s="1990"/>
      <c r="E555" s="1990"/>
      <c r="F555" s="1990"/>
      <c r="G555" s="1990"/>
      <c r="H555" s="1990"/>
      <c r="I555" s="1990"/>
      <c r="J555" s="1990"/>
      <c r="K555" s="1990"/>
      <c r="L555" s="1990"/>
      <c r="M555" s="1990"/>
      <c r="N555" s="1990"/>
      <c r="O555" s="1990"/>
      <c r="P555" s="1990"/>
      <c r="Q555" s="1990"/>
      <c r="R555" s="1990"/>
      <c r="S555" s="1990"/>
      <c r="T555" s="1990"/>
      <c r="U555" s="1990"/>
      <c r="V555" s="1990"/>
      <c r="W555" s="1990"/>
      <c r="X555" s="1990"/>
      <c r="Y555" s="1990"/>
      <c r="Z555" s="1990"/>
      <c r="AA555" s="1990"/>
      <c r="AB555" s="1990"/>
      <c r="AC555" s="1990"/>
      <c r="AD555" s="1990"/>
      <c r="AE555" s="1990"/>
      <c r="AF555" s="1990"/>
      <c r="AG555" s="1990"/>
      <c r="AH555" s="1990"/>
      <c r="AI555" s="1990"/>
      <c r="AJ555" s="1990"/>
      <c r="AK555" s="676"/>
      <c r="AL555" s="607"/>
      <c r="AM555" s="637"/>
      <c r="AN555" s="631"/>
    </row>
    <row r="556" spans="1:45" s="584" customFormat="1" ht="12.75" customHeight="1">
      <c r="A556" s="637"/>
      <c r="B556" s="1990"/>
      <c r="C556" s="1990"/>
      <c r="D556" s="1990"/>
      <c r="E556" s="1990"/>
      <c r="F556" s="1990"/>
      <c r="G556" s="1990"/>
      <c r="H556" s="1990"/>
      <c r="I556" s="1990"/>
      <c r="J556" s="1990"/>
      <c r="K556" s="1990"/>
      <c r="L556" s="1990"/>
      <c r="M556" s="1990"/>
      <c r="N556" s="1990"/>
      <c r="O556" s="1990"/>
      <c r="P556" s="1990"/>
      <c r="Q556" s="1990"/>
      <c r="R556" s="1990"/>
      <c r="S556" s="1990"/>
      <c r="T556" s="1990"/>
      <c r="U556" s="1990"/>
      <c r="V556" s="1990"/>
      <c r="W556" s="1990"/>
      <c r="X556" s="1990"/>
      <c r="Y556" s="1990"/>
      <c r="Z556" s="1990"/>
      <c r="AA556" s="1990"/>
      <c r="AB556" s="1990"/>
      <c r="AC556" s="1990"/>
      <c r="AD556" s="1990"/>
      <c r="AE556" s="1990"/>
      <c r="AF556" s="1990"/>
      <c r="AG556" s="1990"/>
      <c r="AH556" s="1990"/>
      <c r="AI556" s="1990"/>
      <c r="AJ556" s="1990"/>
      <c r="AK556" s="676"/>
      <c r="AL556" s="607"/>
      <c r="AM556" s="637"/>
      <c r="AN556" s="631"/>
    </row>
    <row r="557" spans="1:45" s="584" customFormat="1" ht="12.75" customHeight="1">
      <c r="A557" s="637"/>
      <c r="B557" s="1990"/>
      <c r="C557" s="1990"/>
      <c r="D557" s="1990"/>
      <c r="E557" s="1990"/>
      <c r="F557" s="1990"/>
      <c r="G557" s="1990"/>
      <c r="H557" s="1990"/>
      <c r="I557" s="1990"/>
      <c r="J557" s="1990"/>
      <c r="K557" s="1990"/>
      <c r="L557" s="1990"/>
      <c r="M557" s="1990"/>
      <c r="N557" s="1990"/>
      <c r="O557" s="1990"/>
      <c r="P557" s="1990"/>
      <c r="Q557" s="1990"/>
      <c r="R557" s="1990"/>
      <c r="S557" s="1990"/>
      <c r="T557" s="1990"/>
      <c r="U557" s="1990"/>
      <c r="V557" s="1990"/>
      <c r="W557" s="1990"/>
      <c r="X557" s="1990"/>
      <c r="Y557" s="1990"/>
      <c r="Z557" s="1990"/>
      <c r="AA557" s="1990"/>
      <c r="AB557" s="1990"/>
      <c r="AC557" s="1990"/>
      <c r="AD557" s="1990"/>
      <c r="AE557" s="1990"/>
      <c r="AF557" s="1990"/>
      <c r="AG557" s="1990"/>
      <c r="AH557" s="1990"/>
      <c r="AI557" s="1990"/>
      <c r="AJ557" s="1990"/>
      <c r="AK557" s="676"/>
      <c r="AL557" s="607"/>
      <c r="AM557" s="637"/>
      <c r="AN557" s="631"/>
    </row>
    <row r="558" spans="1:45" s="584" customFormat="1" ht="12.75" customHeight="1">
      <c r="A558" s="637"/>
      <c r="B558" s="1990"/>
      <c r="C558" s="1990"/>
      <c r="D558" s="1990"/>
      <c r="E558" s="1990"/>
      <c r="F558" s="1990"/>
      <c r="G558" s="1990"/>
      <c r="H558" s="1990"/>
      <c r="I558" s="1990"/>
      <c r="J558" s="1990"/>
      <c r="K558" s="1990"/>
      <c r="L558" s="1990"/>
      <c r="M558" s="1990"/>
      <c r="N558" s="1990"/>
      <c r="O558" s="1990"/>
      <c r="P558" s="1990"/>
      <c r="Q558" s="1990"/>
      <c r="R558" s="1990"/>
      <c r="S558" s="1990"/>
      <c r="T558" s="1990"/>
      <c r="U558" s="1990"/>
      <c r="V558" s="1990"/>
      <c r="W558" s="1990"/>
      <c r="X558" s="1990"/>
      <c r="Y558" s="1990"/>
      <c r="Z558" s="1990"/>
      <c r="AA558" s="1990"/>
      <c r="AB558" s="1990"/>
      <c r="AC558" s="1990"/>
      <c r="AD558" s="1990"/>
      <c r="AE558" s="1990"/>
      <c r="AF558" s="1990"/>
      <c r="AG558" s="1990"/>
      <c r="AH558" s="1990"/>
      <c r="AI558" s="1990"/>
      <c r="AJ558" s="1990"/>
      <c r="AK558" s="676"/>
      <c r="AL558" s="607"/>
      <c r="AM558" s="637"/>
      <c r="AN558" s="631"/>
    </row>
    <row r="559" spans="1:45" s="584" customFormat="1" ht="12.75" customHeight="1">
      <c r="A559" s="637"/>
      <c r="B559" s="1990"/>
      <c r="C559" s="1990"/>
      <c r="D559" s="1990"/>
      <c r="E559" s="1990"/>
      <c r="F559" s="1990"/>
      <c r="G559" s="1990"/>
      <c r="H559" s="1990"/>
      <c r="I559" s="1990"/>
      <c r="J559" s="1990"/>
      <c r="K559" s="1990"/>
      <c r="L559" s="1990"/>
      <c r="M559" s="1990"/>
      <c r="N559" s="1990"/>
      <c r="O559" s="1990"/>
      <c r="P559" s="1990"/>
      <c r="Q559" s="1990"/>
      <c r="R559" s="1990"/>
      <c r="S559" s="1990"/>
      <c r="T559" s="1990"/>
      <c r="U559" s="1990"/>
      <c r="V559" s="1990"/>
      <c r="W559" s="1990"/>
      <c r="X559" s="1990"/>
      <c r="Y559" s="1990"/>
      <c r="Z559" s="1990"/>
      <c r="AA559" s="1990"/>
      <c r="AB559" s="1990"/>
      <c r="AC559" s="1990"/>
      <c r="AD559" s="1990"/>
      <c r="AE559" s="1990"/>
      <c r="AF559" s="1990"/>
      <c r="AG559" s="1990"/>
      <c r="AH559" s="1990"/>
      <c r="AI559" s="1990"/>
      <c r="AJ559" s="1990"/>
      <c r="AK559" s="676"/>
      <c r="AL559" s="607"/>
      <c r="AM559" s="637"/>
      <c r="AN559" s="631"/>
    </row>
    <row r="560" spans="1:45" ht="12.75" customHeight="1">
      <c r="A560" s="637"/>
      <c r="B560" s="1990"/>
      <c r="C560" s="1990"/>
      <c r="D560" s="1990"/>
      <c r="E560" s="1990"/>
      <c r="F560" s="1990"/>
      <c r="G560" s="1990"/>
      <c r="H560" s="1990"/>
      <c r="I560" s="1990"/>
      <c r="J560" s="1990"/>
      <c r="K560" s="1990"/>
      <c r="L560" s="1990"/>
      <c r="M560" s="1990"/>
      <c r="N560" s="1990"/>
      <c r="O560" s="1990"/>
      <c r="P560" s="1990"/>
      <c r="Q560" s="1990"/>
      <c r="R560" s="1990"/>
      <c r="S560" s="1990"/>
      <c r="T560" s="1990"/>
      <c r="U560" s="1990"/>
      <c r="V560" s="1990"/>
      <c r="W560" s="1990"/>
      <c r="X560" s="1990"/>
      <c r="Y560" s="1990"/>
      <c r="Z560" s="1990"/>
      <c r="AA560" s="1990"/>
      <c r="AB560" s="1990"/>
      <c r="AC560" s="1990"/>
      <c r="AD560" s="1990"/>
      <c r="AE560" s="1990"/>
      <c r="AF560" s="1990"/>
      <c r="AG560" s="1990"/>
      <c r="AH560" s="1990"/>
      <c r="AI560" s="1990"/>
      <c r="AJ560" s="1990"/>
      <c r="AK560" s="676"/>
      <c r="AL560" s="607"/>
      <c r="AM560" s="637"/>
    </row>
    <row r="561" spans="1:42" s="584" customFormat="1" ht="12.75" customHeight="1">
      <c r="B561" s="1990"/>
      <c r="C561" s="1990"/>
      <c r="D561" s="1990"/>
      <c r="E561" s="1990"/>
      <c r="F561" s="1990"/>
      <c r="G561" s="1990"/>
      <c r="H561" s="1990"/>
      <c r="I561" s="1990"/>
      <c r="J561" s="1990"/>
      <c r="K561" s="1990"/>
      <c r="L561" s="1990"/>
      <c r="M561" s="1990"/>
      <c r="N561" s="1990"/>
      <c r="O561" s="1990"/>
      <c r="P561" s="1990"/>
      <c r="Q561" s="1990"/>
      <c r="R561" s="1990"/>
      <c r="S561" s="1990"/>
      <c r="T561" s="1990"/>
      <c r="U561" s="1990"/>
      <c r="V561" s="1990"/>
      <c r="W561" s="1990"/>
      <c r="X561" s="1990"/>
      <c r="Y561" s="1990"/>
      <c r="Z561" s="1990"/>
      <c r="AA561" s="1990"/>
      <c r="AB561" s="1990"/>
      <c r="AC561" s="1990"/>
      <c r="AD561" s="1990"/>
      <c r="AE561" s="1990"/>
      <c r="AF561" s="1990"/>
      <c r="AG561" s="1990"/>
      <c r="AH561" s="1990"/>
      <c r="AI561" s="1990"/>
      <c r="AJ561" s="199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6" t="s">
        <v>1449</v>
      </c>
      <c r="AG567" s="1936"/>
      <c r="AH567" s="1936"/>
      <c r="AI567" s="1936"/>
      <c r="AJ567" s="1936"/>
      <c r="AK567" s="1936"/>
      <c r="AL567" s="1936"/>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6" t="s">
        <v>1507</v>
      </c>
      <c r="AG574" s="1936"/>
      <c r="AH574" s="1936"/>
      <c r="AI574" s="1936"/>
      <c r="AJ574" s="1936"/>
      <c r="AK574" s="1936"/>
      <c r="AL574" s="1936"/>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6" t="s">
        <v>1489</v>
      </c>
      <c r="AG580" s="1936"/>
      <c r="AH580" s="1936"/>
      <c r="AI580" s="1936"/>
      <c r="AJ580" s="1936"/>
      <c r="AK580" s="1936"/>
      <c r="AL580" s="1936"/>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6" t="s">
        <v>1510</v>
      </c>
      <c r="AG586" s="1936"/>
      <c r="AH586" s="1936"/>
      <c r="AI586" s="1936"/>
      <c r="AJ586" s="1936"/>
      <c r="AK586" s="1936"/>
      <c r="AL586" s="1936"/>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21" t="s">
        <v>1291</v>
      </c>
      <c r="P590" s="2021"/>
      <c r="Q590" s="2021"/>
      <c r="R590" s="2021"/>
      <c r="S590" s="2021"/>
      <c r="T590" s="2021"/>
      <c r="U590" s="2021"/>
      <c r="V590" s="2021"/>
      <c r="W590" s="2021"/>
      <c r="X590" s="2021"/>
      <c r="Y590" s="2021"/>
      <c r="Z590" s="2021"/>
      <c r="AA590" s="2021"/>
      <c r="AB590" s="202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6" t="s">
        <v>1463</v>
      </c>
      <c r="AG592" s="1936"/>
      <c r="AH592" s="1936"/>
      <c r="AI592" s="1936"/>
      <c r="AJ592" s="1936"/>
      <c r="AK592" s="1936"/>
      <c r="AL592" s="1936"/>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2019" t="s">
        <v>697</v>
      </c>
      <c r="I595" s="2019"/>
      <c r="J595" s="971"/>
      <c r="K595" s="971"/>
      <c r="L595" s="971"/>
      <c r="N595" s="22"/>
      <c r="O595" s="22"/>
      <c r="P595" s="22"/>
      <c r="Q595" s="1195" t="s">
        <v>2539</v>
      </c>
      <c r="R595" s="2022"/>
      <c r="S595" s="2022"/>
      <c r="T595" s="2022"/>
      <c r="U595" s="2022"/>
      <c r="V595" s="2022"/>
      <c r="W595" s="2022"/>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3" t="str">
        <f>IF(AND(H595="(i)",NOT(AP571)),AO588,IF(AND(H595="(iv)",OR(R595=AO584,R595=AO583),NOT(AP572)),AO589,""))</f>
        <v/>
      </c>
      <c r="Z596" s="2023"/>
      <c r="AA596" s="2023"/>
      <c r="AB596" s="2023"/>
      <c r="AC596" s="2023"/>
      <c r="AD596" s="2023"/>
      <c r="AE596" s="2023"/>
      <c r="AF596" s="2023"/>
      <c r="AG596" s="2023"/>
      <c r="AH596" s="2023"/>
      <c r="AI596" s="2023"/>
      <c r="AJ596" s="2023"/>
      <c r="AK596" s="2023"/>
      <c r="AL596" s="2023"/>
      <c r="AM596" s="2024"/>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3"/>
      <c r="Z597" s="2023"/>
      <c r="AA597" s="2023"/>
      <c r="AB597" s="2023"/>
      <c r="AC597" s="2023"/>
      <c r="AD597" s="2023"/>
      <c r="AE597" s="2023"/>
      <c r="AF597" s="2023"/>
      <c r="AG597" s="2023"/>
      <c r="AH597" s="2023"/>
      <c r="AI597" s="2023"/>
      <c r="AJ597" s="2023"/>
      <c r="AK597" s="2023"/>
      <c r="AL597" s="2023"/>
      <c r="AM597" s="2024"/>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20" t="s">
        <v>600</v>
      </c>
      <c r="J603" s="2020"/>
      <c r="K603" s="2020"/>
      <c r="L603" s="2020"/>
      <c r="M603" s="2020"/>
      <c r="N603" s="2020"/>
      <c r="O603" s="2020"/>
      <c r="P603" s="2020"/>
      <c r="Q603" s="2020"/>
      <c r="R603" s="2020"/>
      <c r="S603" s="2020"/>
      <c r="T603" s="2020"/>
      <c r="U603" s="2020"/>
      <c r="V603" s="2020"/>
      <c r="W603" s="2020"/>
      <c r="X603" s="2020"/>
      <c r="Y603" s="2020"/>
      <c r="Z603" s="2020"/>
      <c r="AA603" s="2020"/>
      <c r="AB603" s="2020"/>
      <c r="AC603" s="2020"/>
      <c r="AD603" s="2020"/>
      <c r="AE603" s="2020"/>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1963" t="s">
        <v>600</v>
      </c>
      <c r="C605" s="1963"/>
      <c r="D605" s="676"/>
      <c r="E605" s="1990" t="s">
        <v>1514</v>
      </c>
      <c r="F605" s="1990"/>
      <c r="G605" s="1990"/>
      <c r="H605" s="1990"/>
      <c r="I605" s="1990"/>
      <c r="J605" s="1990"/>
      <c r="K605" s="1990"/>
      <c r="L605" s="1990"/>
      <c r="M605" s="1990"/>
      <c r="N605" s="1990"/>
      <c r="O605" s="1990"/>
      <c r="P605" s="1990"/>
      <c r="Q605" s="1990"/>
      <c r="R605" s="1990"/>
      <c r="S605" s="1990"/>
      <c r="T605" s="1990"/>
      <c r="U605" s="1990"/>
      <c r="V605" s="1990"/>
      <c r="W605" s="1990"/>
      <c r="X605" s="1990"/>
      <c r="Y605" s="1990"/>
      <c r="Z605" s="1990"/>
      <c r="AA605" s="1990"/>
      <c r="AB605" s="1990"/>
      <c r="AC605" s="1990"/>
      <c r="AD605" s="1990"/>
      <c r="AE605" s="1990"/>
      <c r="AF605" s="1990"/>
      <c r="AG605" s="1990"/>
      <c r="AH605" s="676"/>
      <c r="AI605" s="676"/>
      <c r="AJ605" s="676"/>
      <c r="AK605" s="676"/>
      <c r="AL605" s="676"/>
      <c r="AN605" s="631"/>
    </row>
    <row r="606" spans="2:47" s="584" customFormat="1" ht="12.75" customHeight="1">
      <c r="B606" s="570"/>
      <c r="C606" s="968"/>
      <c r="D606" s="676"/>
      <c r="E606" s="1990"/>
      <c r="F606" s="1990"/>
      <c r="G606" s="1990"/>
      <c r="H606" s="1990"/>
      <c r="I606" s="1990"/>
      <c r="J606" s="1990"/>
      <c r="K606" s="1990"/>
      <c r="L606" s="1990"/>
      <c r="M606" s="1990"/>
      <c r="N606" s="1990"/>
      <c r="O606" s="1990"/>
      <c r="P606" s="1990"/>
      <c r="Q606" s="1990"/>
      <c r="R606" s="1990"/>
      <c r="S606" s="1990"/>
      <c r="T606" s="1990"/>
      <c r="U606" s="1990"/>
      <c r="V606" s="1990"/>
      <c r="W606" s="1990"/>
      <c r="X606" s="1990"/>
      <c r="Y606" s="1990"/>
      <c r="Z606" s="1990"/>
      <c r="AA606" s="1990"/>
      <c r="AB606" s="1990"/>
      <c r="AC606" s="1990"/>
      <c r="AD606" s="1990"/>
      <c r="AE606" s="1990"/>
      <c r="AF606" s="1990"/>
      <c r="AG606" s="1990"/>
      <c r="AH606" s="676"/>
      <c r="AI606" s="676"/>
      <c r="AJ606" s="676"/>
      <c r="AK606" s="676"/>
      <c r="AL606" s="676"/>
      <c r="AN606" s="631"/>
    </row>
    <row r="607" spans="2:47" s="584" customFormat="1" ht="12.75" customHeight="1">
      <c r="B607" s="570"/>
      <c r="C607" s="968"/>
      <c r="D607" s="676"/>
      <c r="E607" s="1990"/>
      <c r="F607" s="1990"/>
      <c r="G607" s="1990"/>
      <c r="H607" s="1990"/>
      <c r="I607" s="1990"/>
      <c r="J607" s="1990"/>
      <c r="K607" s="1990"/>
      <c r="L607" s="1990"/>
      <c r="M607" s="1990"/>
      <c r="N607" s="1990"/>
      <c r="O607" s="1990"/>
      <c r="P607" s="1990"/>
      <c r="Q607" s="1990"/>
      <c r="R607" s="1990"/>
      <c r="S607" s="1990"/>
      <c r="T607" s="1990"/>
      <c r="U607" s="1990"/>
      <c r="V607" s="1990"/>
      <c r="W607" s="1990"/>
      <c r="X607" s="1990"/>
      <c r="Y607" s="1990"/>
      <c r="Z607" s="1990"/>
      <c r="AA607" s="1990"/>
      <c r="AB607" s="1990"/>
      <c r="AC607" s="1990"/>
      <c r="AD607" s="1990"/>
      <c r="AE607" s="1990"/>
      <c r="AF607" s="1990"/>
      <c r="AG607" s="1990"/>
      <c r="AH607" s="676"/>
      <c r="AI607" s="676"/>
      <c r="AJ607" s="676"/>
      <c r="AK607" s="676"/>
      <c r="AL607" s="676"/>
      <c r="AN607" s="631"/>
    </row>
    <row r="608" spans="2:47" s="584" customFormat="1" ht="12.75" customHeight="1">
      <c r="B608" s="570"/>
      <c r="C608" s="968"/>
      <c r="D608" s="676"/>
      <c r="E608" s="1990"/>
      <c r="F608" s="1990"/>
      <c r="G608" s="1990"/>
      <c r="H608" s="1990"/>
      <c r="I608" s="1990"/>
      <c r="J608" s="1990"/>
      <c r="K608" s="1990"/>
      <c r="L608" s="1990"/>
      <c r="M608" s="1990"/>
      <c r="N608" s="1990"/>
      <c r="O608" s="1990"/>
      <c r="P608" s="1990"/>
      <c r="Q608" s="1990"/>
      <c r="R608" s="1990"/>
      <c r="S608" s="1990"/>
      <c r="T608" s="1990"/>
      <c r="U608" s="1990"/>
      <c r="V608" s="1990"/>
      <c r="W608" s="1990"/>
      <c r="X608" s="1990"/>
      <c r="Y608" s="1990"/>
      <c r="Z608" s="1990"/>
      <c r="AA608" s="1990"/>
      <c r="AB608" s="1990"/>
      <c r="AC608" s="1990"/>
      <c r="AD608" s="1990"/>
      <c r="AE608" s="1990"/>
      <c r="AF608" s="1990"/>
      <c r="AG608" s="199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70">
        <f>VLOOKUP($H$595,$AO$575:$AP$580,2,FALSE)+IF(R595=AO583,0,VLOOKUP($I$603,$AO$602:$AP$604,2,FALSE))</f>
        <v>7</v>
      </c>
      <c r="AK610" s="1972"/>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8" t="s">
        <v>1884</v>
      </c>
      <c r="F614" s="2018"/>
      <c r="G614" s="2018"/>
      <c r="H614" s="2018"/>
      <c r="I614" s="2018"/>
      <c r="J614" s="2018"/>
      <c r="K614" s="2018"/>
      <c r="L614" s="2018"/>
      <c r="M614" s="2018"/>
      <c r="N614" s="2018"/>
      <c r="O614" s="2018"/>
      <c r="P614" s="2018"/>
      <c r="Q614" s="2018"/>
      <c r="R614" s="2018"/>
      <c r="S614" s="2018"/>
      <c r="T614" s="2018"/>
      <c r="U614" s="2018"/>
      <c r="V614" s="2018"/>
      <c r="W614" s="2018"/>
      <c r="X614" s="2018"/>
      <c r="Y614" s="2018"/>
      <c r="Z614" s="2018"/>
      <c r="AA614" s="2018"/>
      <c r="AB614" s="2018"/>
      <c r="AC614" s="2018"/>
      <c r="AD614" s="2018"/>
      <c r="AE614" s="573"/>
      <c r="AF614" s="1936" t="s">
        <v>1463</v>
      </c>
      <c r="AG614" s="1936"/>
      <c r="AH614" s="1936"/>
      <c r="AI614" s="1936"/>
      <c r="AJ614" s="1936"/>
      <c r="AK614" s="1936"/>
      <c r="AL614" s="1936"/>
      <c r="AM614" s="584"/>
      <c r="AN614" s="712"/>
    </row>
    <row r="615" spans="1:42" s="584" customFormat="1" ht="12.75" customHeight="1">
      <c r="A615" s="713"/>
      <c r="B615" s="570"/>
      <c r="C615" s="968"/>
      <c r="D615" s="697"/>
      <c r="E615" s="2018"/>
      <c r="F615" s="2018"/>
      <c r="G615" s="2018"/>
      <c r="H615" s="2018"/>
      <c r="I615" s="2018"/>
      <c r="J615" s="2018"/>
      <c r="K615" s="2018"/>
      <c r="L615" s="2018"/>
      <c r="M615" s="2018"/>
      <c r="N615" s="2018"/>
      <c r="O615" s="2018"/>
      <c r="P615" s="2018"/>
      <c r="Q615" s="2018"/>
      <c r="R615" s="2018"/>
      <c r="S615" s="2018"/>
      <c r="T615" s="2018"/>
      <c r="U615" s="2018"/>
      <c r="V615" s="2018"/>
      <c r="W615" s="2018"/>
      <c r="X615" s="2018"/>
      <c r="Y615" s="2018"/>
      <c r="Z615" s="2018"/>
      <c r="AA615" s="2018"/>
      <c r="AB615" s="2018"/>
      <c r="AC615" s="2018"/>
      <c r="AD615" s="2018"/>
      <c r="AE615" s="570"/>
      <c r="AF615" s="570"/>
      <c r="AG615" s="570"/>
      <c r="AH615" s="570"/>
      <c r="AI615" s="570"/>
      <c r="AJ615" s="570"/>
      <c r="AK615" s="570"/>
      <c r="AL615" s="570"/>
      <c r="AN615" s="631"/>
    </row>
    <row r="616" spans="1:42" s="584" customFormat="1" ht="12.75" customHeight="1">
      <c r="B616" s="570"/>
      <c r="C616" s="966"/>
      <c r="D616" s="697"/>
      <c r="E616" s="2018"/>
      <c r="F616" s="2018"/>
      <c r="G616" s="2018"/>
      <c r="H616" s="2018"/>
      <c r="I616" s="2018"/>
      <c r="J616" s="2018"/>
      <c r="K616" s="2018"/>
      <c r="L616" s="2018"/>
      <c r="M616" s="2018"/>
      <c r="N616" s="2018"/>
      <c r="O616" s="2018"/>
      <c r="P616" s="2018"/>
      <c r="Q616" s="2018"/>
      <c r="R616" s="2018"/>
      <c r="S616" s="2018"/>
      <c r="T616" s="2018"/>
      <c r="U616" s="2018"/>
      <c r="V616" s="2018"/>
      <c r="W616" s="2018"/>
      <c r="X616" s="2018"/>
      <c r="Y616" s="2018"/>
      <c r="Z616" s="2018"/>
      <c r="AA616" s="2018"/>
      <c r="AB616" s="2018"/>
      <c r="AC616" s="2018"/>
      <c r="AD616" s="2018"/>
      <c r="AE616" s="570"/>
      <c r="AF616" s="570"/>
      <c r="AG616" s="570"/>
      <c r="AH616" s="570"/>
      <c r="AI616" s="570"/>
      <c r="AJ616" s="570"/>
      <c r="AK616" s="570"/>
      <c r="AL616" s="570"/>
      <c r="AN616" s="631"/>
    </row>
    <row r="617" spans="1:42" s="584" customFormat="1" ht="12.75" customHeight="1">
      <c r="B617" s="570"/>
      <c r="C617" s="966"/>
      <c r="D617" s="697"/>
      <c r="E617" s="2018"/>
      <c r="F617" s="2018"/>
      <c r="G617" s="2018"/>
      <c r="H617" s="2018"/>
      <c r="I617" s="2018"/>
      <c r="J617" s="2018"/>
      <c r="K617" s="2018"/>
      <c r="L617" s="2018"/>
      <c r="M617" s="2018"/>
      <c r="N617" s="2018"/>
      <c r="O617" s="2018"/>
      <c r="P617" s="2018"/>
      <c r="Q617" s="2018"/>
      <c r="R617" s="2018"/>
      <c r="S617" s="2018"/>
      <c r="T617" s="2018"/>
      <c r="U617" s="2018"/>
      <c r="V617" s="2018"/>
      <c r="W617" s="2018"/>
      <c r="X617" s="2018"/>
      <c r="Y617" s="2018"/>
      <c r="Z617" s="2018"/>
      <c r="AA617" s="2018"/>
      <c r="AB617" s="2018"/>
      <c r="AC617" s="2018"/>
      <c r="AD617" s="2018"/>
      <c r="AE617" s="570"/>
      <c r="AF617" s="570"/>
      <c r="AG617" s="570"/>
      <c r="AH617" s="570"/>
      <c r="AI617" s="570"/>
      <c r="AJ617" s="570"/>
      <c r="AK617" s="570"/>
      <c r="AL617" s="570"/>
      <c r="AN617" s="631"/>
    </row>
    <row r="618" spans="1:42" s="584" customFormat="1" ht="12.75" customHeight="1">
      <c r="B618" s="570"/>
      <c r="C618" s="966"/>
      <c r="D618" s="697"/>
      <c r="E618" s="2018"/>
      <c r="F618" s="2018"/>
      <c r="G618" s="2018"/>
      <c r="H618" s="2018"/>
      <c r="I618" s="2018"/>
      <c r="J618" s="2018"/>
      <c r="K618" s="2018"/>
      <c r="L618" s="2018"/>
      <c r="M618" s="2018"/>
      <c r="N618" s="2018"/>
      <c r="O618" s="2018"/>
      <c r="P618" s="2018"/>
      <c r="Q618" s="2018"/>
      <c r="R618" s="2018"/>
      <c r="S618" s="2018"/>
      <c r="T618" s="2018"/>
      <c r="U618" s="2018"/>
      <c r="V618" s="2018"/>
      <c r="W618" s="2018"/>
      <c r="X618" s="2018"/>
      <c r="Y618" s="2018"/>
      <c r="Z618" s="2018"/>
      <c r="AA618" s="2018"/>
      <c r="AB618" s="2018"/>
      <c r="AC618" s="2018"/>
      <c r="AD618" s="2018"/>
      <c r="AE618" s="570"/>
      <c r="AF618" s="570"/>
      <c r="AG618" s="570"/>
      <c r="AH618" s="570"/>
      <c r="AI618" s="570"/>
      <c r="AJ618" s="570"/>
      <c r="AK618" s="570"/>
      <c r="AL618" s="570"/>
      <c r="AN618" s="631"/>
    </row>
    <row r="619" spans="1:42" s="584" customFormat="1" ht="12.75" customHeight="1">
      <c r="B619" s="570"/>
      <c r="C619" s="966"/>
      <c r="D619" s="697"/>
      <c r="E619" s="2018"/>
      <c r="F619" s="2018"/>
      <c r="G619" s="2018"/>
      <c r="H619" s="2018"/>
      <c r="I619" s="2018"/>
      <c r="J619" s="2018"/>
      <c r="K619" s="2018"/>
      <c r="L619" s="2018"/>
      <c r="M619" s="2018"/>
      <c r="N619" s="2018"/>
      <c r="O619" s="2018"/>
      <c r="P619" s="2018"/>
      <c r="Q619" s="2018"/>
      <c r="R619" s="2018"/>
      <c r="S619" s="2018"/>
      <c r="T619" s="2018"/>
      <c r="U619" s="2018"/>
      <c r="V619" s="2018"/>
      <c r="W619" s="2018"/>
      <c r="X619" s="2018"/>
      <c r="Y619" s="2018"/>
      <c r="Z619" s="2018"/>
      <c r="AA619" s="2018"/>
      <c r="AB619" s="2018"/>
      <c r="AC619" s="2018"/>
      <c r="AD619" s="2018"/>
      <c r="AE619" s="570"/>
      <c r="AF619" s="570"/>
      <c r="AG619" s="570"/>
      <c r="AH619" s="570"/>
      <c r="AI619" s="570"/>
      <c r="AJ619" s="570"/>
      <c r="AK619" s="570"/>
      <c r="AL619" s="570"/>
      <c r="AN619" s="631"/>
    </row>
    <row r="620" spans="1:42" s="584" customFormat="1" ht="12.75" customHeight="1">
      <c r="A620" s="671"/>
      <c r="B620" s="650"/>
      <c r="C620" s="975"/>
      <c r="D620" s="697"/>
      <c r="E620" s="2018"/>
      <c r="F620" s="2018"/>
      <c r="G620" s="2018"/>
      <c r="H620" s="2018"/>
      <c r="I620" s="2018"/>
      <c r="J620" s="2018"/>
      <c r="K620" s="2018"/>
      <c r="L620" s="2018"/>
      <c r="M620" s="2018"/>
      <c r="N620" s="2018"/>
      <c r="O620" s="2018"/>
      <c r="P620" s="2018"/>
      <c r="Q620" s="2018"/>
      <c r="R620" s="2018"/>
      <c r="S620" s="2018"/>
      <c r="T620" s="2018"/>
      <c r="U620" s="2018"/>
      <c r="V620" s="2018"/>
      <c r="W620" s="2018"/>
      <c r="X620" s="2018"/>
      <c r="Y620" s="2018"/>
      <c r="Z620" s="2018"/>
      <c r="AA620" s="2018"/>
      <c r="AB620" s="2018"/>
      <c r="AC620" s="2018"/>
      <c r="AD620" s="2018"/>
      <c r="AE620" s="650"/>
      <c r="AF620" s="650"/>
      <c r="AG620" s="650"/>
      <c r="AH620" s="650"/>
      <c r="AI620" s="650"/>
      <c r="AJ620" s="650"/>
      <c r="AK620" s="570"/>
      <c r="AL620" s="570"/>
      <c r="AN620" s="631"/>
    </row>
    <row r="621" spans="1:42" s="584" customFormat="1" ht="12.75" customHeight="1">
      <c r="B621" s="650"/>
      <c r="C621" s="975"/>
      <c r="D621" s="697"/>
      <c r="E621" s="2018"/>
      <c r="F621" s="2018"/>
      <c r="G621" s="2018"/>
      <c r="H621" s="2018"/>
      <c r="I621" s="2018"/>
      <c r="J621" s="2018"/>
      <c r="K621" s="2018"/>
      <c r="L621" s="2018"/>
      <c r="M621" s="2018"/>
      <c r="N621" s="2018"/>
      <c r="O621" s="2018"/>
      <c r="P621" s="2018"/>
      <c r="Q621" s="2018"/>
      <c r="R621" s="2018"/>
      <c r="S621" s="2018"/>
      <c r="T621" s="2018"/>
      <c r="U621" s="2018"/>
      <c r="V621" s="2018"/>
      <c r="W621" s="2018"/>
      <c r="X621" s="2018"/>
      <c r="Y621" s="2018"/>
      <c r="Z621" s="2018"/>
      <c r="AA621" s="2018"/>
      <c r="AB621" s="2018"/>
      <c r="AC621" s="2018"/>
      <c r="AD621" s="201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1963" t="s">
        <v>600</v>
      </c>
      <c r="Y623" s="1963"/>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6" t="s">
        <v>1519</v>
      </c>
      <c r="AG625" s="1936"/>
      <c r="AH625" s="1936"/>
      <c r="AI625" s="1936"/>
      <c r="AJ625" s="1936"/>
      <c r="AK625" s="1936"/>
      <c r="AL625" s="1936"/>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2019" t="s">
        <v>600</v>
      </c>
      <c r="I627" s="201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70">
        <f>VLOOKUP($H$627,$AO$594:$AP$596,2,FALSE)</f>
        <v>0</v>
      </c>
      <c r="AK629" s="1972"/>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90" t="s">
        <v>2416</v>
      </c>
      <c r="F633" s="1990"/>
      <c r="G633" s="1990"/>
      <c r="H633" s="1990"/>
      <c r="I633" s="1990"/>
      <c r="J633" s="1990"/>
      <c r="K633" s="1990"/>
      <c r="L633" s="1990"/>
      <c r="M633" s="1990"/>
      <c r="N633" s="1990"/>
      <c r="O633" s="1990"/>
      <c r="P633" s="1990"/>
      <c r="Q633" s="1990"/>
      <c r="R633" s="1990"/>
      <c r="S633" s="1990"/>
      <c r="T633" s="1990"/>
      <c r="U633" s="1990"/>
      <c r="V633" s="1990"/>
      <c r="W633" s="1990"/>
      <c r="X633" s="1990"/>
      <c r="Y633" s="1990"/>
      <c r="Z633" s="1990"/>
      <c r="AA633" s="1990"/>
      <c r="AB633" s="1990"/>
      <c r="AC633" s="1990"/>
      <c r="AD633" s="1990"/>
      <c r="AE633" s="570"/>
      <c r="AF633" s="1936" t="s">
        <v>1463</v>
      </c>
      <c r="AG633" s="1936"/>
      <c r="AH633" s="1936"/>
      <c r="AI633" s="1936"/>
      <c r="AJ633" s="1936"/>
      <c r="AK633" s="1936"/>
      <c r="AL633" s="1936"/>
      <c r="AN633" s="631"/>
    </row>
    <row r="634" spans="1:42" s="584" customFormat="1" ht="12.75" customHeight="1">
      <c r="B634" s="570"/>
      <c r="C634" s="570"/>
      <c r="D634" s="697"/>
      <c r="E634" s="1990"/>
      <c r="F634" s="1990"/>
      <c r="G634" s="1990"/>
      <c r="H634" s="1990"/>
      <c r="I634" s="1990"/>
      <c r="J634" s="1990"/>
      <c r="K634" s="1990"/>
      <c r="L634" s="1990"/>
      <c r="M634" s="1990"/>
      <c r="N634" s="1990"/>
      <c r="O634" s="1990"/>
      <c r="P634" s="1990"/>
      <c r="Q634" s="1990"/>
      <c r="R634" s="1990"/>
      <c r="S634" s="1990"/>
      <c r="T634" s="1990"/>
      <c r="U634" s="1990"/>
      <c r="V634" s="1990"/>
      <c r="W634" s="1990"/>
      <c r="X634" s="1990"/>
      <c r="Y634" s="1990"/>
      <c r="Z634" s="1990"/>
      <c r="AA634" s="1990"/>
      <c r="AB634" s="1990"/>
      <c r="AC634" s="1990"/>
      <c r="AD634" s="199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6" t="s">
        <v>1519</v>
      </c>
      <c r="AG636" s="1936"/>
      <c r="AH636" s="1936"/>
      <c r="AI636" s="1936"/>
      <c r="AJ636" s="1936"/>
      <c r="AK636" s="1936"/>
      <c r="AL636" s="1936"/>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2019" t="s">
        <v>697</v>
      </c>
      <c r="I639" s="201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70">
        <f>VLOOKUP(H639,AT594:AU596,2,FALSE)</f>
        <v>3</v>
      </c>
      <c r="AK641" s="1972"/>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90" t="s">
        <v>1529</v>
      </c>
      <c r="F646" s="1990"/>
      <c r="G646" s="1990"/>
      <c r="H646" s="1990"/>
      <c r="I646" s="1990"/>
      <c r="J646" s="1990"/>
      <c r="K646" s="1990"/>
      <c r="L646" s="1990"/>
      <c r="M646" s="1990"/>
      <c r="N646" s="1990"/>
      <c r="O646" s="1990"/>
      <c r="P646" s="1990"/>
      <c r="Q646" s="1990"/>
      <c r="R646" s="1990"/>
      <c r="S646" s="1990"/>
      <c r="T646" s="1990"/>
      <c r="U646" s="1990"/>
      <c r="V646" s="1990"/>
      <c r="W646" s="1990"/>
      <c r="X646" s="1990"/>
      <c r="Y646" s="1990"/>
      <c r="Z646" s="1990"/>
      <c r="AA646" s="1990"/>
      <c r="AB646" s="1990"/>
      <c r="AC646" s="1990"/>
      <c r="AD646" s="570"/>
      <c r="AE646" s="570"/>
      <c r="AF646" s="1936" t="s">
        <v>1489</v>
      </c>
      <c r="AG646" s="1936"/>
      <c r="AH646" s="1936"/>
      <c r="AI646" s="1936"/>
      <c r="AJ646" s="1936"/>
      <c r="AK646" s="1936"/>
      <c r="AL646" s="1936"/>
      <c r="AN646" s="631"/>
    </row>
    <row r="647" spans="1:42" s="584" customFormat="1" ht="12.75" customHeight="1">
      <c r="B647" s="570"/>
      <c r="C647" s="573"/>
      <c r="D647" s="570"/>
      <c r="E647" s="1990"/>
      <c r="F647" s="1990"/>
      <c r="G647" s="1990"/>
      <c r="H647" s="1990"/>
      <c r="I647" s="1990"/>
      <c r="J647" s="1990"/>
      <c r="K647" s="1990"/>
      <c r="L647" s="1990"/>
      <c r="M647" s="1990"/>
      <c r="N647" s="1990"/>
      <c r="O647" s="1990"/>
      <c r="P647" s="1990"/>
      <c r="Q647" s="1990"/>
      <c r="R647" s="1990"/>
      <c r="S647" s="1990"/>
      <c r="T647" s="1990"/>
      <c r="U647" s="1990"/>
      <c r="V647" s="1990"/>
      <c r="W647" s="1990"/>
      <c r="X647" s="1990"/>
      <c r="Y647" s="1990"/>
      <c r="Z647" s="1990"/>
      <c r="AA647" s="1990"/>
      <c r="AB647" s="1990"/>
      <c r="AC647" s="1990"/>
      <c r="AD647" s="570"/>
      <c r="AE647" s="570"/>
      <c r="AF647" s="570"/>
      <c r="AG647" s="570"/>
      <c r="AH647" s="570"/>
      <c r="AI647" s="570"/>
      <c r="AJ647" s="570"/>
      <c r="AK647" s="570"/>
      <c r="AL647" s="570"/>
      <c r="AN647" s="631"/>
    </row>
    <row r="648" spans="1:42" s="584" customFormat="1" ht="12.75" customHeight="1">
      <c r="B648" s="570"/>
      <c r="C648" s="573"/>
      <c r="D648" s="697"/>
      <c r="E648" s="1990"/>
      <c r="F648" s="1990"/>
      <c r="G648" s="1990"/>
      <c r="H648" s="1990"/>
      <c r="I648" s="1990"/>
      <c r="J648" s="1990"/>
      <c r="K648" s="1990"/>
      <c r="L648" s="1990"/>
      <c r="M648" s="1990"/>
      <c r="N648" s="1990"/>
      <c r="O648" s="1990"/>
      <c r="P648" s="1990"/>
      <c r="Q648" s="1990"/>
      <c r="R648" s="1990"/>
      <c r="S648" s="1990"/>
      <c r="T648" s="1990"/>
      <c r="U648" s="1990"/>
      <c r="V648" s="1990"/>
      <c r="W648" s="1990"/>
      <c r="X648" s="1990"/>
      <c r="Y648" s="1990"/>
      <c r="Z648" s="1990"/>
      <c r="AA648" s="1990"/>
      <c r="AB648" s="1990"/>
      <c r="AC648" s="199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90" t="s">
        <v>1530</v>
      </c>
      <c r="F650" s="1990"/>
      <c r="G650" s="1990"/>
      <c r="H650" s="1990"/>
      <c r="I650" s="1990"/>
      <c r="J650" s="1990"/>
      <c r="K650" s="1990"/>
      <c r="L650" s="1990"/>
      <c r="M650" s="1990"/>
      <c r="N650" s="1990"/>
      <c r="O650" s="1990"/>
      <c r="P650" s="1990"/>
      <c r="Q650" s="1990"/>
      <c r="R650" s="1990"/>
      <c r="S650" s="1990"/>
      <c r="T650" s="1990"/>
      <c r="U650" s="1990"/>
      <c r="V650" s="1990"/>
      <c r="W650" s="1990"/>
      <c r="X650" s="1990"/>
      <c r="Y650" s="1990"/>
      <c r="Z650" s="1990"/>
      <c r="AA650" s="1990"/>
      <c r="AB650" s="1990"/>
      <c r="AC650" s="1990"/>
      <c r="AD650" s="570"/>
      <c r="AE650" s="570"/>
      <c r="AF650" s="1936" t="s">
        <v>1510</v>
      </c>
      <c r="AG650" s="1936"/>
      <c r="AH650" s="1936"/>
      <c r="AI650" s="1936"/>
      <c r="AJ650" s="1936"/>
      <c r="AK650" s="1936"/>
      <c r="AL650" s="1936"/>
      <c r="AN650" s="631"/>
    </row>
    <row r="651" spans="1:42" s="584" customFormat="1" ht="12.75" customHeight="1">
      <c r="B651" s="570"/>
      <c r="C651" s="573"/>
      <c r="D651" s="570"/>
      <c r="E651" s="1990"/>
      <c r="F651" s="1990"/>
      <c r="G651" s="1990"/>
      <c r="H651" s="1990"/>
      <c r="I651" s="1990"/>
      <c r="J651" s="1990"/>
      <c r="K651" s="1990"/>
      <c r="L651" s="1990"/>
      <c r="M651" s="1990"/>
      <c r="N651" s="1990"/>
      <c r="O651" s="1990"/>
      <c r="P651" s="1990"/>
      <c r="Q651" s="1990"/>
      <c r="R651" s="1990"/>
      <c r="S651" s="1990"/>
      <c r="T651" s="1990"/>
      <c r="U651" s="1990"/>
      <c r="V651" s="1990"/>
      <c r="W651" s="1990"/>
      <c r="X651" s="1990"/>
      <c r="Y651" s="1990"/>
      <c r="Z651" s="1990"/>
      <c r="AA651" s="1990"/>
      <c r="AB651" s="1990"/>
      <c r="AC651" s="1990"/>
      <c r="AD651" s="570"/>
      <c r="AE651" s="570"/>
      <c r="AF651" s="570"/>
      <c r="AG651" s="570"/>
      <c r="AH651" s="570"/>
      <c r="AI651" s="570"/>
      <c r="AJ651" s="570"/>
      <c r="AK651" s="570"/>
      <c r="AL651" s="570"/>
      <c r="AN651" s="631"/>
    </row>
    <row r="652" spans="1:42" s="584" customFormat="1" ht="15" customHeight="1">
      <c r="B652" s="570"/>
      <c r="C652" s="573"/>
      <c r="D652" s="697"/>
      <c r="E652" s="1990"/>
      <c r="F652" s="1990"/>
      <c r="G652" s="1990"/>
      <c r="H652" s="1990"/>
      <c r="I652" s="1990"/>
      <c r="J652" s="1990"/>
      <c r="K652" s="1990"/>
      <c r="L652" s="1990"/>
      <c r="M652" s="1990"/>
      <c r="N652" s="1990"/>
      <c r="O652" s="1990"/>
      <c r="P652" s="1990"/>
      <c r="Q652" s="1990"/>
      <c r="R652" s="1990"/>
      <c r="S652" s="1990"/>
      <c r="T652" s="1990"/>
      <c r="U652" s="1990"/>
      <c r="V652" s="1990"/>
      <c r="W652" s="1990"/>
      <c r="X652" s="1990"/>
      <c r="Y652" s="1990"/>
      <c r="Z652" s="1990"/>
      <c r="AA652" s="1990"/>
      <c r="AB652" s="1990"/>
      <c r="AC652" s="199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90" t="s">
        <v>1531</v>
      </c>
      <c r="F654" s="1990"/>
      <c r="G654" s="1990"/>
      <c r="H654" s="1990"/>
      <c r="I654" s="1990"/>
      <c r="J654" s="1990"/>
      <c r="K654" s="1990"/>
      <c r="L654" s="1990"/>
      <c r="M654" s="1990"/>
      <c r="N654" s="1990"/>
      <c r="O654" s="1990"/>
      <c r="P654" s="1990"/>
      <c r="Q654" s="1990"/>
      <c r="R654" s="1990"/>
      <c r="S654" s="1990"/>
      <c r="T654" s="1990"/>
      <c r="U654" s="1990"/>
      <c r="V654" s="1990"/>
      <c r="W654" s="1990"/>
      <c r="X654" s="1990"/>
      <c r="Y654" s="1990"/>
      <c r="Z654" s="1990"/>
      <c r="AA654" s="1990"/>
      <c r="AB654" s="1990"/>
      <c r="AC654" s="1990"/>
      <c r="AD654" s="570"/>
      <c r="AE654" s="570"/>
      <c r="AF654" s="1936" t="s">
        <v>1463</v>
      </c>
      <c r="AG654" s="1936"/>
      <c r="AH654" s="1936"/>
      <c r="AI654" s="1936"/>
      <c r="AJ654" s="1936"/>
      <c r="AK654" s="1936"/>
      <c r="AL654" s="1936"/>
      <c r="AN654" s="631"/>
    </row>
    <row r="655" spans="1:42" s="584" customFormat="1" ht="12.75" customHeight="1">
      <c r="B655" s="570"/>
      <c r="C655" s="966"/>
      <c r="D655" s="570"/>
      <c r="E655" s="1990"/>
      <c r="F655" s="1990"/>
      <c r="G655" s="1990"/>
      <c r="H655" s="1990"/>
      <c r="I655" s="1990"/>
      <c r="J655" s="1990"/>
      <c r="K655" s="1990"/>
      <c r="L655" s="1990"/>
      <c r="M655" s="1990"/>
      <c r="N655" s="1990"/>
      <c r="O655" s="1990"/>
      <c r="P655" s="1990"/>
      <c r="Q655" s="1990"/>
      <c r="R655" s="1990"/>
      <c r="S655" s="1990"/>
      <c r="T655" s="1990"/>
      <c r="U655" s="1990"/>
      <c r="V655" s="1990"/>
      <c r="W655" s="1990"/>
      <c r="X655" s="1990"/>
      <c r="Y655" s="1990"/>
      <c r="Z655" s="1990"/>
      <c r="AA655" s="1990"/>
      <c r="AB655" s="1990"/>
      <c r="AC655" s="1990"/>
      <c r="AD655" s="570"/>
      <c r="AE655" s="1936"/>
      <c r="AF655" s="1936"/>
      <c r="AG655" s="1936"/>
      <c r="AH655" s="1936"/>
      <c r="AI655" s="1936"/>
      <c r="AJ655" s="1936"/>
      <c r="AK655" s="1936"/>
      <c r="AL655" s="628"/>
      <c r="AN655" s="631"/>
      <c r="AO655" s="584" t="s">
        <v>600</v>
      </c>
      <c r="AP655" s="707">
        <v>0</v>
      </c>
    </row>
    <row r="656" spans="1:42" s="584" customFormat="1" ht="12.75" customHeight="1">
      <c r="A656" s="713"/>
      <c r="B656" s="570"/>
      <c r="C656" s="570"/>
      <c r="D656" s="697"/>
      <c r="E656" s="1990"/>
      <c r="F656" s="1990"/>
      <c r="G656" s="1990"/>
      <c r="H656" s="1990"/>
      <c r="I656" s="1990"/>
      <c r="J656" s="1990"/>
      <c r="K656" s="1990"/>
      <c r="L656" s="1990"/>
      <c r="M656" s="1990"/>
      <c r="N656" s="1990"/>
      <c r="O656" s="1990"/>
      <c r="P656" s="1990"/>
      <c r="Q656" s="1990"/>
      <c r="R656" s="1990"/>
      <c r="S656" s="1990"/>
      <c r="T656" s="1990"/>
      <c r="U656" s="1990"/>
      <c r="V656" s="1990"/>
      <c r="W656" s="1990"/>
      <c r="X656" s="1990"/>
      <c r="Y656" s="1990"/>
      <c r="Z656" s="1990"/>
      <c r="AA656" s="1990"/>
      <c r="AB656" s="1990"/>
      <c r="AC656" s="1990"/>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90" t="s">
        <v>1532</v>
      </c>
      <c r="F658" s="1990"/>
      <c r="G658" s="1990"/>
      <c r="H658" s="1990"/>
      <c r="I658" s="1990"/>
      <c r="J658" s="1990"/>
      <c r="K658" s="1990"/>
      <c r="L658" s="1990"/>
      <c r="M658" s="1990"/>
      <c r="N658" s="1990"/>
      <c r="O658" s="1990"/>
      <c r="P658" s="1990"/>
      <c r="Q658" s="1990"/>
      <c r="R658" s="1990"/>
      <c r="S658" s="1990"/>
      <c r="T658" s="1990"/>
      <c r="U658" s="1990"/>
      <c r="V658" s="1990"/>
      <c r="W658" s="1990"/>
      <c r="X658" s="1990"/>
      <c r="Y658" s="1990"/>
      <c r="Z658" s="1990"/>
      <c r="AA658" s="1990"/>
      <c r="AB658" s="1990"/>
      <c r="AC658" s="1990"/>
      <c r="AD658" s="570"/>
      <c r="AE658" s="570"/>
      <c r="AF658" s="1936" t="s">
        <v>1510</v>
      </c>
      <c r="AG658" s="1936"/>
      <c r="AH658" s="1936"/>
      <c r="AI658" s="1936"/>
      <c r="AJ658" s="1936"/>
      <c r="AK658" s="1936"/>
      <c r="AL658" s="1936"/>
      <c r="AN658" s="631"/>
    </row>
    <row r="659" spans="1:42" s="584" customFormat="1" ht="12.75" customHeight="1">
      <c r="A659" s="704"/>
      <c r="B659" s="570"/>
      <c r="C659" s="982"/>
      <c r="D659" s="697"/>
      <c r="E659" s="1990"/>
      <c r="F659" s="1990"/>
      <c r="G659" s="1990"/>
      <c r="H659" s="1990"/>
      <c r="I659" s="1990"/>
      <c r="J659" s="1990"/>
      <c r="K659" s="1990"/>
      <c r="L659" s="1990"/>
      <c r="M659" s="1990"/>
      <c r="N659" s="1990"/>
      <c r="O659" s="1990"/>
      <c r="P659" s="1990"/>
      <c r="Q659" s="1990"/>
      <c r="R659" s="1990"/>
      <c r="S659" s="1990"/>
      <c r="T659" s="1990"/>
      <c r="U659" s="1990"/>
      <c r="V659" s="1990"/>
      <c r="W659" s="1990"/>
      <c r="X659" s="1990"/>
      <c r="Y659" s="1990"/>
      <c r="Z659" s="1990"/>
      <c r="AA659" s="1990"/>
      <c r="AB659" s="1990"/>
      <c r="AC659" s="199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0"/>
      <c r="F660" s="1990"/>
      <c r="G660" s="1990"/>
      <c r="H660" s="1990"/>
      <c r="I660" s="1990"/>
      <c r="J660" s="1990"/>
      <c r="K660" s="1990"/>
      <c r="L660" s="1990"/>
      <c r="M660" s="1990"/>
      <c r="N660" s="1990"/>
      <c r="O660" s="1990"/>
      <c r="P660" s="1990"/>
      <c r="Q660" s="1990"/>
      <c r="R660" s="1990"/>
      <c r="S660" s="1990"/>
      <c r="T660" s="1990"/>
      <c r="U660" s="1990"/>
      <c r="V660" s="1990"/>
      <c r="W660" s="1990"/>
      <c r="X660" s="1990"/>
      <c r="Y660" s="1990"/>
      <c r="Z660" s="1990"/>
      <c r="AA660" s="1990"/>
      <c r="AB660" s="1990"/>
      <c r="AC660" s="199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90" t="s">
        <v>1533</v>
      </c>
      <c r="F662" s="1990"/>
      <c r="G662" s="1990"/>
      <c r="H662" s="1990"/>
      <c r="I662" s="1990"/>
      <c r="J662" s="1990"/>
      <c r="K662" s="1990"/>
      <c r="L662" s="1990"/>
      <c r="M662" s="1990"/>
      <c r="N662" s="1990"/>
      <c r="O662" s="1990"/>
      <c r="P662" s="1990"/>
      <c r="Q662" s="1990"/>
      <c r="R662" s="1990"/>
      <c r="S662" s="1990"/>
      <c r="T662" s="1990"/>
      <c r="U662" s="1990"/>
      <c r="V662" s="1990"/>
      <c r="W662" s="1990"/>
      <c r="X662" s="1990"/>
      <c r="Y662" s="1990"/>
      <c r="Z662" s="1990"/>
      <c r="AA662" s="1990"/>
      <c r="AB662" s="1990"/>
      <c r="AC662" s="1990"/>
      <c r="AD662" s="570"/>
      <c r="AE662" s="570"/>
      <c r="AF662" s="1936" t="s">
        <v>1463</v>
      </c>
      <c r="AG662" s="1936"/>
      <c r="AH662" s="1936"/>
      <c r="AI662" s="1936"/>
      <c r="AJ662" s="1936"/>
      <c r="AK662" s="1936"/>
      <c r="AL662" s="1936"/>
      <c r="AM662" s="630"/>
      <c r="AN662" s="631"/>
    </row>
    <row r="663" spans="1:42" s="584" customFormat="1" ht="12.75" customHeight="1">
      <c r="B663" s="570"/>
      <c r="C663" s="966"/>
      <c r="D663" s="697"/>
      <c r="E663" s="1990"/>
      <c r="F663" s="1990"/>
      <c r="G663" s="1990"/>
      <c r="H663" s="1990"/>
      <c r="I663" s="1990"/>
      <c r="J663" s="1990"/>
      <c r="K663" s="1990"/>
      <c r="L663" s="1990"/>
      <c r="M663" s="1990"/>
      <c r="N663" s="1990"/>
      <c r="O663" s="1990"/>
      <c r="P663" s="1990"/>
      <c r="Q663" s="1990"/>
      <c r="R663" s="1990"/>
      <c r="S663" s="1990"/>
      <c r="T663" s="1990"/>
      <c r="U663" s="1990"/>
      <c r="V663" s="1990"/>
      <c r="W663" s="1990"/>
      <c r="X663" s="1990"/>
      <c r="Y663" s="1990"/>
      <c r="Z663" s="1990"/>
      <c r="AA663" s="1990"/>
      <c r="AB663" s="1990"/>
      <c r="AC663" s="1990"/>
      <c r="AD663" s="570"/>
      <c r="AE663" s="570"/>
      <c r="AF663" s="570"/>
      <c r="AG663" s="570"/>
      <c r="AH663" s="570"/>
      <c r="AI663" s="570"/>
      <c r="AJ663" s="570"/>
      <c r="AK663" s="570"/>
      <c r="AL663" s="570"/>
      <c r="AM663" s="630"/>
      <c r="AN663" s="631"/>
    </row>
    <row r="664" spans="1:42" s="584" customFormat="1" ht="12.75" customHeight="1">
      <c r="B664" s="570"/>
      <c r="C664" s="966"/>
      <c r="D664" s="697"/>
      <c r="E664" s="1990"/>
      <c r="F664" s="1990"/>
      <c r="G664" s="1990"/>
      <c r="H664" s="1990"/>
      <c r="I664" s="1990"/>
      <c r="J664" s="1990"/>
      <c r="K664" s="1990"/>
      <c r="L664" s="1990"/>
      <c r="M664" s="1990"/>
      <c r="N664" s="1990"/>
      <c r="O664" s="1990"/>
      <c r="P664" s="1990"/>
      <c r="Q664" s="1990"/>
      <c r="R664" s="1990"/>
      <c r="S664" s="1990"/>
      <c r="T664" s="1990"/>
      <c r="U664" s="1990"/>
      <c r="V664" s="1990"/>
      <c r="W664" s="1990"/>
      <c r="X664" s="1990"/>
      <c r="Y664" s="1990"/>
      <c r="Z664" s="1990"/>
      <c r="AA664" s="1990"/>
      <c r="AB664" s="1990"/>
      <c r="AC664" s="199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90" t="s">
        <v>1534</v>
      </c>
      <c r="F666" s="1990"/>
      <c r="G666" s="1990"/>
      <c r="H666" s="1990"/>
      <c r="I666" s="1990"/>
      <c r="J666" s="1990"/>
      <c r="K666" s="1990"/>
      <c r="L666" s="1990"/>
      <c r="M666" s="1990"/>
      <c r="N666" s="1990"/>
      <c r="O666" s="1990"/>
      <c r="P666" s="1990"/>
      <c r="Q666" s="1990"/>
      <c r="R666" s="1990"/>
      <c r="S666" s="1990"/>
      <c r="T666" s="1990"/>
      <c r="U666" s="1990"/>
      <c r="V666" s="1990"/>
      <c r="W666" s="1990"/>
      <c r="X666" s="1990"/>
      <c r="Y666" s="1990"/>
      <c r="Z666" s="1990"/>
      <c r="AA666" s="1990"/>
      <c r="AB666" s="1990"/>
      <c r="AC666" s="1990"/>
      <c r="AD666" s="570"/>
      <c r="AE666" s="570"/>
      <c r="AF666" s="1936" t="s">
        <v>1519</v>
      </c>
      <c r="AG666" s="1936"/>
      <c r="AH666" s="1936"/>
      <c r="AI666" s="1936"/>
      <c r="AJ666" s="1936"/>
      <c r="AK666" s="1936"/>
      <c r="AL666" s="1936"/>
      <c r="AM666" s="630"/>
      <c r="AN666" s="631"/>
    </row>
    <row r="667" spans="1:42" s="584" customFormat="1" ht="12.75" customHeight="1">
      <c r="A667" s="713"/>
      <c r="B667" s="570"/>
      <c r="C667" s="966"/>
      <c r="D667" s="697"/>
      <c r="E667" s="1990"/>
      <c r="F667" s="1990"/>
      <c r="G667" s="1990"/>
      <c r="H667" s="1990"/>
      <c r="I667" s="1990"/>
      <c r="J667" s="1990"/>
      <c r="K667" s="1990"/>
      <c r="L667" s="1990"/>
      <c r="M667" s="1990"/>
      <c r="N667" s="1990"/>
      <c r="O667" s="1990"/>
      <c r="P667" s="1990"/>
      <c r="Q667" s="1990"/>
      <c r="R667" s="1990"/>
      <c r="S667" s="1990"/>
      <c r="T667" s="1990"/>
      <c r="U667" s="1990"/>
      <c r="V667" s="1990"/>
      <c r="W667" s="1990"/>
      <c r="X667" s="1990"/>
      <c r="Y667" s="1990"/>
      <c r="Z667" s="1990"/>
      <c r="AA667" s="1990"/>
      <c r="AB667" s="1990"/>
      <c r="AC667" s="199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0"/>
      <c r="F668" s="1990"/>
      <c r="G668" s="1990"/>
      <c r="H668" s="1990"/>
      <c r="I668" s="1990"/>
      <c r="J668" s="1990"/>
      <c r="K668" s="1990"/>
      <c r="L668" s="1990"/>
      <c r="M668" s="1990"/>
      <c r="N668" s="1990"/>
      <c r="O668" s="1990"/>
      <c r="P668" s="1990"/>
      <c r="Q668" s="1990"/>
      <c r="R668" s="1990"/>
      <c r="S668" s="1990"/>
      <c r="T668" s="1990"/>
      <c r="U668" s="1990"/>
      <c r="V668" s="1990"/>
      <c r="W668" s="1990"/>
      <c r="X668" s="1990"/>
      <c r="Y668" s="1990"/>
      <c r="Z668" s="1990"/>
      <c r="AA668" s="1990"/>
      <c r="AB668" s="1990"/>
      <c r="AC668" s="199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90" t="s">
        <v>1535</v>
      </c>
      <c r="F670" s="1990"/>
      <c r="G670" s="1990"/>
      <c r="H670" s="1990"/>
      <c r="I670" s="1990"/>
      <c r="J670" s="1990"/>
      <c r="K670" s="1990"/>
      <c r="L670" s="1990"/>
      <c r="M670" s="1990"/>
      <c r="N670" s="1990"/>
      <c r="O670" s="1990"/>
      <c r="P670" s="1990"/>
      <c r="Q670" s="1990"/>
      <c r="R670" s="1990"/>
      <c r="S670" s="1990"/>
      <c r="T670" s="1990"/>
      <c r="U670" s="1990"/>
      <c r="V670" s="1990"/>
      <c r="W670" s="1990"/>
      <c r="X670" s="1990"/>
      <c r="Y670" s="1990"/>
      <c r="Z670" s="1990"/>
      <c r="AA670" s="1990"/>
      <c r="AB670" s="1990"/>
      <c r="AC670" s="1990"/>
      <c r="AD670" s="570"/>
      <c r="AE670" s="570"/>
      <c r="AF670" s="1936" t="s">
        <v>1536</v>
      </c>
      <c r="AG670" s="1936"/>
      <c r="AH670" s="1936"/>
      <c r="AI670" s="1936"/>
      <c r="AJ670" s="1936"/>
      <c r="AK670" s="1936"/>
      <c r="AL670" s="1936"/>
      <c r="AM670" s="630"/>
      <c r="AN670" s="631"/>
      <c r="AO670" s="645" t="s">
        <v>697</v>
      </c>
      <c r="AP670" s="584">
        <v>3</v>
      </c>
    </row>
    <row r="671" spans="1:42" s="584" customFormat="1" ht="12.75" customHeight="1">
      <c r="A671" s="713"/>
      <c r="B671" s="570"/>
      <c r="C671" s="966"/>
      <c r="D671" s="697"/>
      <c r="E671" s="1990"/>
      <c r="F671" s="1990"/>
      <c r="G671" s="1990"/>
      <c r="H671" s="1990"/>
      <c r="I671" s="1990"/>
      <c r="J671" s="1990"/>
      <c r="K671" s="1990"/>
      <c r="L671" s="1990"/>
      <c r="M671" s="1990"/>
      <c r="N671" s="1990"/>
      <c r="O671" s="1990"/>
      <c r="P671" s="1990"/>
      <c r="Q671" s="1990"/>
      <c r="R671" s="1990"/>
      <c r="S671" s="1990"/>
      <c r="T671" s="1990"/>
      <c r="U671" s="1990"/>
      <c r="V671" s="1990"/>
      <c r="W671" s="1990"/>
      <c r="X671" s="1990"/>
      <c r="Y671" s="1990"/>
      <c r="Z671" s="1990"/>
      <c r="AA671" s="1990"/>
      <c r="AB671" s="1990"/>
      <c r="AC671" s="1990"/>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90"/>
      <c r="F672" s="1990"/>
      <c r="G672" s="1990"/>
      <c r="H672" s="1990"/>
      <c r="I672" s="1990"/>
      <c r="J672" s="1990"/>
      <c r="K672" s="1990"/>
      <c r="L672" s="1990"/>
      <c r="M672" s="1990"/>
      <c r="N672" s="1990"/>
      <c r="O672" s="1990"/>
      <c r="P672" s="1990"/>
      <c r="Q672" s="1990"/>
      <c r="R672" s="1990"/>
      <c r="S672" s="1990"/>
      <c r="T672" s="1990"/>
      <c r="U672" s="1990"/>
      <c r="V672" s="1990"/>
      <c r="W672" s="1990"/>
      <c r="X672" s="1990"/>
      <c r="Y672" s="1990"/>
      <c r="Z672" s="1990"/>
      <c r="AA672" s="1990"/>
      <c r="AB672" s="1990"/>
      <c r="AC672" s="199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2019" t="s">
        <v>697</v>
      </c>
      <c r="I674" s="201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70">
        <f>VLOOKUP($H$674,$AO$622:$AP$629,2,FALSE)</f>
        <v>5</v>
      </c>
      <c r="AK676" s="1972"/>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177</v>
      </c>
    </row>
    <row r="680" spans="1:51" s="584" customFormat="1" ht="12.75" customHeight="1">
      <c r="A680" s="713"/>
      <c r="B680" s="570"/>
      <c r="C680" s="983"/>
      <c r="D680" s="697" t="s">
        <v>697</v>
      </c>
      <c r="E680" s="2026" t="s">
        <v>2552</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36" t="s">
        <v>1463</v>
      </c>
      <c r="AG680" s="1936"/>
      <c r="AH680" s="1936"/>
      <c r="AI680" s="1936"/>
      <c r="AJ680" s="1936"/>
      <c r="AK680" s="1936"/>
      <c r="AL680" s="1936"/>
      <c r="AN680" s="631"/>
      <c r="AW680" s="22" t="s">
        <v>2547</v>
      </c>
      <c r="AX680" s="584">
        <f>Application!CC632</f>
        <v>0</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90" t="s">
        <v>2453</v>
      </c>
      <c r="F683" s="1990"/>
      <c r="G683" s="1990"/>
      <c r="H683" s="1990"/>
      <c r="I683" s="1990"/>
      <c r="J683" s="1990"/>
      <c r="K683" s="1990"/>
      <c r="L683" s="1990"/>
      <c r="M683" s="1990"/>
      <c r="N683" s="1990"/>
      <c r="O683" s="1990"/>
      <c r="P683" s="1990"/>
      <c r="Q683" s="1990"/>
      <c r="R683" s="1990"/>
      <c r="S683" s="1990"/>
      <c r="T683" s="1990"/>
      <c r="U683" s="1990"/>
      <c r="V683" s="1990"/>
      <c r="W683" s="1990"/>
      <c r="X683" s="1990"/>
      <c r="Y683" s="1990"/>
      <c r="Z683" s="1990"/>
      <c r="AA683" s="1990"/>
      <c r="AB683" s="1990"/>
      <c r="AC683" s="570"/>
      <c r="AD683" s="570"/>
      <c r="AE683" s="570"/>
      <c r="AF683" s="1936" t="s">
        <v>1463</v>
      </c>
      <c r="AG683" s="1936"/>
      <c r="AH683" s="1936"/>
      <c r="AI683" s="1936"/>
      <c r="AJ683" s="1936"/>
      <c r="AK683" s="1936"/>
      <c r="AL683" s="1936"/>
      <c r="AN683" s="631"/>
      <c r="AW683" s="22" t="s">
        <v>2550</v>
      </c>
      <c r="AX683" s="584">
        <f>AX680+AX681+AX682</f>
        <v>0</v>
      </c>
    </row>
    <row r="684" spans="1:51" s="584" customFormat="1" ht="12.75" customHeight="1">
      <c r="B684" s="570"/>
      <c r="C684" s="975"/>
      <c r="D684" s="697"/>
      <c r="E684" s="1990"/>
      <c r="F684" s="1990"/>
      <c r="G684" s="1990"/>
      <c r="H684" s="1990"/>
      <c r="I684" s="1990"/>
      <c r="J684" s="1990"/>
      <c r="K684" s="1990"/>
      <c r="L684" s="1990"/>
      <c r="M684" s="1990"/>
      <c r="N684" s="1990"/>
      <c r="O684" s="1990"/>
      <c r="P684" s="1990"/>
      <c r="Q684" s="1990"/>
      <c r="R684" s="1990"/>
      <c r="S684" s="1990"/>
      <c r="T684" s="1990"/>
      <c r="U684" s="1990"/>
      <c r="V684" s="1990"/>
      <c r="W684" s="1990"/>
      <c r="X684" s="1990"/>
      <c r="Y684" s="1990"/>
      <c r="Z684" s="1990"/>
      <c r="AA684" s="1990"/>
      <c r="AB684" s="1990"/>
      <c r="AC684" s="570"/>
      <c r="AD684" s="570"/>
      <c r="AE684" s="650"/>
      <c r="AF684" s="570"/>
      <c r="AG684" s="570"/>
      <c r="AH684" s="570"/>
      <c r="AI684" s="570"/>
      <c r="AJ684" s="570"/>
      <c r="AK684" s="570"/>
      <c r="AL684" s="570"/>
      <c r="AN684" s="631"/>
      <c r="AO684" s="2025" t="b">
        <f>IF(Application!D211="Special Needs",IF(AY684&gt;=0.25,TRUE,FALSE),IF(AX684&gt;=0.25,TRUE,FALSE))</f>
        <v>0</v>
      </c>
      <c r="AP684" s="2025"/>
      <c r="AW684" s="22" t="s">
        <v>2551</v>
      </c>
      <c r="AX684" s="584">
        <f>IFERROR(AX683/AX679,0)</f>
        <v>0</v>
      </c>
      <c r="AY684" s="584">
        <f>IFERROR(AX683/(AX679-AX678),0)</f>
        <v>0</v>
      </c>
    </row>
    <row r="685" spans="1:51" s="584" customFormat="1" ht="12.75" customHeight="1">
      <c r="B685" s="570"/>
      <c r="C685" s="975"/>
      <c r="E685" s="1990"/>
      <c r="F685" s="1990"/>
      <c r="G685" s="1990"/>
      <c r="H685" s="1990"/>
      <c r="I685" s="1990"/>
      <c r="J685" s="1990"/>
      <c r="K685" s="1990"/>
      <c r="L685" s="1990"/>
      <c r="M685" s="1990"/>
      <c r="N685" s="1990"/>
      <c r="O685" s="1990"/>
      <c r="P685" s="1990"/>
      <c r="Q685" s="1990"/>
      <c r="R685" s="1990"/>
      <c r="S685" s="1990"/>
      <c r="T685" s="1990"/>
      <c r="U685" s="1990"/>
      <c r="V685" s="1990"/>
      <c r="W685" s="1990"/>
      <c r="X685" s="1990"/>
      <c r="Y685" s="1990"/>
      <c r="Z685" s="1990"/>
      <c r="AA685" s="1990"/>
      <c r="AB685" s="199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0"/>
      <c r="F686" s="1990"/>
      <c r="G686" s="1990"/>
      <c r="H686" s="1990"/>
      <c r="I686" s="1990"/>
      <c r="J686" s="1990"/>
      <c r="K686" s="1990"/>
      <c r="L686" s="1990"/>
      <c r="M686" s="1990"/>
      <c r="N686" s="1990"/>
      <c r="O686" s="1990"/>
      <c r="P686" s="1990"/>
      <c r="Q686" s="1990"/>
      <c r="R686" s="1990"/>
      <c r="S686" s="1990"/>
      <c r="T686" s="1990"/>
      <c r="U686" s="1990"/>
      <c r="V686" s="1990"/>
      <c r="W686" s="1990"/>
      <c r="X686" s="1990"/>
      <c r="Y686" s="1990"/>
      <c r="Z686" s="1990"/>
      <c r="AA686" s="1990"/>
      <c r="AB686" s="1990"/>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90" t="s">
        <v>2454</v>
      </c>
      <c r="F688" s="1990"/>
      <c r="G688" s="1990"/>
      <c r="H688" s="1990"/>
      <c r="I688" s="1990"/>
      <c r="J688" s="1990"/>
      <c r="K688" s="1990"/>
      <c r="L688" s="1990"/>
      <c r="M688" s="1990"/>
      <c r="N688" s="1990"/>
      <c r="O688" s="1990"/>
      <c r="P688" s="1990"/>
      <c r="Q688" s="1990"/>
      <c r="R688" s="1990"/>
      <c r="S688" s="1990"/>
      <c r="T688" s="1990"/>
      <c r="U688" s="1990"/>
      <c r="V688" s="1990"/>
      <c r="W688" s="1990"/>
      <c r="X688" s="1990"/>
      <c r="Y688" s="1990"/>
      <c r="Z688" s="1990"/>
      <c r="AA688" s="1990"/>
      <c r="AB688" s="1990"/>
      <c r="AC688" s="570"/>
      <c r="AD688" s="570"/>
      <c r="AE688" s="570"/>
      <c r="AF688" s="1936" t="s">
        <v>1519</v>
      </c>
      <c r="AG688" s="1936"/>
      <c r="AH688" s="1936"/>
      <c r="AI688" s="1936"/>
      <c r="AJ688" s="1936"/>
      <c r="AK688" s="1936"/>
      <c r="AL688" s="1936"/>
      <c r="AN688" s="631"/>
      <c r="AO688" s="645" t="s">
        <v>518</v>
      </c>
      <c r="AP688" s="584">
        <v>1</v>
      </c>
    </row>
    <row r="689" spans="1:42" s="584" customFormat="1" ht="12" customHeight="1">
      <c r="B689" s="570"/>
      <c r="C689" s="966"/>
      <c r="E689" s="1990"/>
      <c r="F689" s="1990"/>
      <c r="G689" s="1990"/>
      <c r="H689" s="1990"/>
      <c r="I689" s="1990"/>
      <c r="J689" s="1990"/>
      <c r="K689" s="1990"/>
      <c r="L689" s="1990"/>
      <c r="M689" s="1990"/>
      <c r="N689" s="1990"/>
      <c r="O689" s="1990"/>
      <c r="P689" s="1990"/>
      <c r="Q689" s="1990"/>
      <c r="R689" s="1990"/>
      <c r="S689" s="1990"/>
      <c r="T689" s="1990"/>
      <c r="U689" s="1990"/>
      <c r="V689" s="1990"/>
      <c r="W689" s="1990"/>
      <c r="X689" s="1990"/>
      <c r="Y689" s="1990"/>
      <c r="Z689" s="1990"/>
      <c r="AA689" s="1990"/>
      <c r="AB689" s="1990"/>
      <c r="AC689" s="570"/>
      <c r="AD689" s="570"/>
      <c r="AE689" s="650"/>
      <c r="AF689" s="570"/>
      <c r="AG689" s="570"/>
      <c r="AH689" s="570"/>
      <c r="AI689" s="570"/>
      <c r="AJ689" s="570"/>
      <c r="AK689" s="570"/>
      <c r="AL689" s="570"/>
      <c r="AN689" s="631"/>
    </row>
    <row r="690" spans="1:42" s="584" customFormat="1" ht="12" customHeight="1">
      <c r="B690" s="570"/>
      <c r="C690" s="966"/>
      <c r="D690" s="570"/>
      <c r="E690" s="1990"/>
      <c r="F690" s="1990"/>
      <c r="G690" s="1990"/>
      <c r="H690" s="1990"/>
      <c r="I690" s="1990"/>
      <c r="J690" s="1990"/>
      <c r="K690" s="1990"/>
      <c r="L690" s="1990"/>
      <c r="M690" s="1990"/>
      <c r="N690" s="1990"/>
      <c r="O690" s="1990"/>
      <c r="P690" s="1990"/>
      <c r="Q690" s="1990"/>
      <c r="R690" s="1990"/>
      <c r="S690" s="1990"/>
      <c r="T690" s="1990"/>
      <c r="U690" s="1990"/>
      <c r="V690" s="1990"/>
      <c r="W690" s="1990"/>
      <c r="X690" s="1990"/>
      <c r="Y690" s="1990"/>
      <c r="Z690" s="1990"/>
      <c r="AA690" s="1990"/>
      <c r="AB690" s="1990"/>
      <c r="AC690" s="570"/>
      <c r="AD690" s="570"/>
      <c r="AE690" s="650"/>
      <c r="AF690" s="570"/>
      <c r="AG690" s="570"/>
      <c r="AH690" s="570"/>
      <c r="AI690" s="570"/>
      <c r="AJ690" s="570"/>
      <c r="AK690" s="570"/>
      <c r="AL690" s="570"/>
      <c r="AN690" s="631"/>
    </row>
    <row r="691" spans="1:42" s="584" customFormat="1" ht="12" customHeight="1">
      <c r="B691" s="570"/>
      <c r="C691" s="966"/>
      <c r="D691" s="570"/>
      <c r="E691" s="1990"/>
      <c r="F691" s="1990"/>
      <c r="G691" s="1990"/>
      <c r="H691" s="1990"/>
      <c r="I691" s="1990"/>
      <c r="J691" s="1990"/>
      <c r="K691" s="1990"/>
      <c r="L691" s="1990"/>
      <c r="M691" s="1990"/>
      <c r="N691" s="1990"/>
      <c r="O691" s="1990"/>
      <c r="P691" s="1990"/>
      <c r="Q691" s="1990"/>
      <c r="R691" s="1990"/>
      <c r="S691" s="1990"/>
      <c r="T691" s="1990"/>
      <c r="U691" s="1990"/>
      <c r="V691" s="1990"/>
      <c r="W691" s="1990"/>
      <c r="X691" s="1990"/>
      <c r="Y691" s="1990"/>
      <c r="Z691" s="1990"/>
      <c r="AA691" s="1990"/>
      <c r="AB691" s="1990"/>
      <c r="AC691" s="570"/>
      <c r="AD691" s="570"/>
      <c r="AE691" s="650"/>
      <c r="AF691" s="570"/>
      <c r="AG691" s="570"/>
      <c r="AH691" s="570"/>
      <c r="AI691" s="570"/>
      <c r="AJ691" s="570"/>
      <c r="AK691" s="570"/>
      <c r="AL691" s="570"/>
      <c r="AN691" s="631"/>
    </row>
    <row r="692" spans="1:42" s="604" customFormat="1" ht="13" customHeight="1">
      <c r="A692" s="584"/>
      <c r="B692" s="570"/>
      <c r="C692" s="966"/>
      <c r="D692" s="570"/>
      <c r="E692" s="1990"/>
      <c r="F692" s="1990"/>
      <c r="G692" s="1990"/>
      <c r="H692" s="1990"/>
      <c r="I692" s="1990"/>
      <c r="J692" s="1990"/>
      <c r="K692" s="1990"/>
      <c r="L692" s="1990"/>
      <c r="M692" s="1990"/>
      <c r="N692" s="1990"/>
      <c r="O692" s="1990"/>
      <c r="P692" s="1990"/>
      <c r="Q692" s="1990"/>
      <c r="R692" s="1990"/>
      <c r="S692" s="1990"/>
      <c r="T692" s="1990"/>
      <c r="U692" s="1990"/>
      <c r="V692" s="1990"/>
      <c r="W692" s="1990"/>
      <c r="X692" s="1990"/>
      <c r="Y692" s="1990"/>
      <c r="Z692" s="1990"/>
      <c r="AA692" s="1990"/>
      <c r="AB692" s="1990"/>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90" t="s">
        <v>1883</v>
      </c>
      <c r="F694" s="1990"/>
      <c r="G694" s="1990"/>
      <c r="H694" s="1990"/>
      <c r="I694" s="1990"/>
      <c r="J694" s="1990"/>
      <c r="K694" s="1990"/>
      <c r="L694" s="1990"/>
      <c r="M694" s="1990"/>
      <c r="N694" s="1990"/>
      <c r="O694" s="1990"/>
      <c r="P694" s="1990"/>
      <c r="Q694" s="1990"/>
      <c r="R694" s="1990"/>
      <c r="S694" s="1990"/>
      <c r="T694" s="1990"/>
      <c r="U694" s="1990"/>
      <c r="V694" s="1990"/>
      <c r="W694" s="1990"/>
      <c r="X694" s="1990"/>
      <c r="Y694" s="1990"/>
      <c r="Z694" s="1990"/>
      <c r="AA694" s="1990"/>
      <c r="AB694" s="1990"/>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90"/>
      <c r="F695" s="1990"/>
      <c r="G695" s="1990"/>
      <c r="H695" s="1990"/>
      <c r="I695" s="1990"/>
      <c r="J695" s="1990"/>
      <c r="K695" s="1990"/>
      <c r="L695" s="1990"/>
      <c r="M695" s="1990"/>
      <c r="N695" s="1990"/>
      <c r="O695" s="1990"/>
      <c r="P695" s="1990"/>
      <c r="Q695" s="1990"/>
      <c r="R695" s="1990"/>
      <c r="S695" s="1990"/>
      <c r="T695" s="1990"/>
      <c r="U695" s="1990"/>
      <c r="V695" s="1990"/>
      <c r="W695" s="1990"/>
      <c r="X695" s="1990"/>
      <c r="Y695" s="1990"/>
      <c r="Z695" s="1990"/>
      <c r="AA695" s="1990"/>
      <c r="AB695" s="1990"/>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90"/>
      <c r="F696" s="1990"/>
      <c r="G696" s="1990"/>
      <c r="H696" s="1990"/>
      <c r="I696" s="1990"/>
      <c r="J696" s="1990"/>
      <c r="K696" s="1990"/>
      <c r="L696" s="1990"/>
      <c r="M696" s="1990"/>
      <c r="N696" s="1990"/>
      <c r="O696" s="1990"/>
      <c r="P696" s="1990"/>
      <c r="Q696" s="1990"/>
      <c r="R696" s="1990"/>
      <c r="S696" s="1990"/>
      <c r="T696" s="1990"/>
      <c r="U696" s="1990"/>
      <c r="V696" s="1990"/>
      <c r="W696" s="1990"/>
      <c r="X696" s="1990"/>
      <c r="Y696" s="1990"/>
      <c r="Z696" s="1990"/>
      <c r="AA696" s="1990"/>
      <c r="AB696" s="199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2019" t="s">
        <v>600</v>
      </c>
      <c r="I698" s="201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70">
        <f>VLOOKUP($H$698,$AO$692:$AP$695,2,FALSE)</f>
        <v>0</v>
      </c>
      <c r="AK700" s="1972"/>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27" t="s">
        <v>1885</v>
      </c>
      <c r="F704" s="2027"/>
      <c r="G704" s="2027"/>
      <c r="H704" s="2027"/>
      <c r="I704" s="2027"/>
      <c r="J704" s="2027"/>
      <c r="K704" s="2027"/>
      <c r="L704" s="2027"/>
      <c r="M704" s="2027"/>
      <c r="N704" s="2027"/>
      <c r="O704" s="2027"/>
      <c r="P704" s="2027"/>
      <c r="Q704" s="2027"/>
      <c r="R704" s="2027"/>
      <c r="S704" s="2027"/>
      <c r="T704" s="2027"/>
      <c r="U704" s="2027"/>
      <c r="V704" s="2027"/>
      <c r="W704" s="2027"/>
      <c r="X704" s="2027"/>
      <c r="Y704" s="2027"/>
      <c r="Z704" s="2027"/>
      <c r="AA704" s="2027"/>
      <c r="AB704" s="2027"/>
      <c r="AC704" s="570"/>
      <c r="AD704" s="570"/>
      <c r="AE704" s="570"/>
      <c r="AF704" s="1936" t="s">
        <v>1463</v>
      </c>
      <c r="AG704" s="1936"/>
      <c r="AH704" s="1936"/>
      <c r="AI704" s="1936"/>
      <c r="AJ704" s="1936"/>
      <c r="AK704" s="1936"/>
      <c r="AL704" s="1936"/>
      <c r="AM704" s="584"/>
      <c r="AN704" s="718"/>
      <c r="AP704" s="604" t="s">
        <v>1543</v>
      </c>
    </row>
    <row r="705" spans="1:52" s="604" customFormat="1" ht="11.9" customHeight="1">
      <c r="A705" s="584"/>
      <c r="B705" s="570"/>
      <c r="C705" s="968"/>
      <c r="D705" s="697"/>
      <c r="E705" s="2027"/>
      <c r="F705" s="2027"/>
      <c r="G705" s="2027"/>
      <c r="H705" s="2027"/>
      <c r="I705" s="2027"/>
      <c r="J705" s="2027"/>
      <c r="K705" s="2027"/>
      <c r="L705" s="2027"/>
      <c r="M705" s="2027"/>
      <c r="N705" s="2027"/>
      <c r="O705" s="2027"/>
      <c r="P705" s="2027"/>
      <c r="Q705" s="2027"/>
      <c r="R705" s="2027"/>
      <c r="S705" s="2027"/>
      <c r="T705" s="2027"/>
      <c r="U705" s="2027"/>
      <c r="V705" s="2027"/>
      <c r="W705" s="2027"/>
      <c r="X705" s="2027"/>
      <c r="Y705" s="2027"/>
      <c r="Z705" s="2027"/>
      <c r="AA705" s="2027"/>
      <c r="AB705" s="2027"/>
      <c r="AC705" s="570"/>
      <c r="AD705" s="570"/>
      <c r="AE705" s="570"/>
      <c r="AF705" s="570"/>
      <c r="AG705" s="570"/>
      <c r="AH705" s="570"/>
      <c r="AI705" s="570"/>
      <c r="AJ705" s="570"/>
      <c r="AK705" s="570"/>
      <c r="AL705" s="570"/>
      <c r="AM705" s="584"/>
      <c r="AN705" s="718"/>
      <c r="AP705" s="604" t="s">
        <v>1544</v>
      </c>
    </row>
    <row r="706" spans="1:52" s="604" customFormat="1" ht="13.9" customHeight="1">
      <c r="A706" s="584"/>
      <c r="B706" s="644"/>
      <c r="C706" s="966"/>
      <c r="D706" s="697"/>
      <c r="E706" s="2027"/>
      <c r="F706" s="2027"/>
      <c r="G706" s="2027"/>
      <c r="H706" s="2027"/>
      <c r="I706" s="2027"/>
      <c r="J706" s="2027"/>
      <c r="K706" s="2027"/>
      <c r="L706" s="2027"/>
      <c r="M706" s="2027"/>
      <c r="N706" s="2027"/>
      <c r="O706" s="2027"/>
      <c r="P706" s="2027"/>
      <c r="Q706" s="2027"/>
      <c r="R706" s="2027"/>
      <c r="S706" s="2027"/>
      <c r="T706" s="2027"/>
      <c r="U706" s="2027"/>
      <c r="V706" s="2027"/>
      <c r="W706" s="2027"/>
      <c r="X706" s="2027"/>
      <c r="Y706" s="2027"/>
      <c r="Z706" s="2027"/>
      <c r="AA706" s="2027"/>
      <c r="AB706" s="2027"/>
      <c r="AC706" s="570"/>
      <c r="AD706" s="570"/>
      <c r="AE706" s="650"/>
      <c r="AF706" s="570"/>
      <c r="AG706" s="570"/>
      <c r="AH706" s="570"/>
      <c r="AI706" s="570"/>
      <c r="AJ706" s="570"/>
      <c r="AK706" s="570"/>
      <c r="AL706" s="570"/>
      <c r="AM706" s="584"/>
      <c r="AN706" s="718"/>
      <c r="AP706" s="604" t="s">
        <v>1545</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3.9" customHeight="1">
      <c r="A708" s="584"/>
      <c r="B708" s="570"/>
      <c r="C708" s="966"/>
      <c r="D708" s="697" t="s">
        <v>518</v>
      </c>
      <c r="E708" s="2028" t="s">
        <v>1546</v>
      </c>
      <c r="F708" s="2028"/>
      <c r="G708" s="2028"/>
      <c r="H708" s="2028"/>
      <c r="I708" s="2028"/>
      <c r="J708" s="2028"/>
      <c r="K708" s="2028"/>
      <c r="L708" s="2028"/>
      <c r="M708" s="2028"/>
      <c r="N708" s="2028"/>
      <c r="O708" s="2028"/>
      <c r="P708" s="2028"/>
      <c r="Q708" s="2028"/>
      <c r="R708" s="2028"/>
      <c r="S708" s="2028"/>
      <c r="T708" s="2028"/>
      <c r="U708" s="2028"/>
      <c r="V708" s="2028"/>
      <c r="W708" s="2028"/>
      <c r="X708" s="2028"/>
      <c r="Y708" s="2028"/>
      <c r="Z708" s="2028"/>
      <c r="AA708" s="2028"/>
      <c r="AB708" s="2028"/>
      <c r="AC708" s="570"/>
      <c r="AD708" s="570"/>
      <c r="AE708" s="570"/>
      <c r="AF708" s="1936" t="s">
        <v>1519</v>
      </c>
      <c r="AG708" s="1936"/>
      <c r="AH708" s="1936"/>
      <c r="AI708" s="1936"/>
      <c r="AJ708" s="1936"/>
      <c r="AK708" s="1936"/>
      <c r="AL708" s="1936"/>
      <c r="AM708" s="584"/>
      <c r="AN708" s="719"/>
    </row>
    <row r="709" spans="1:52" s="604" customFormat="1" ht="12.75" customHeight="1">
      <c r="A709" s="584"/>
      <c r="B709" s="570"/>
      <c r="C709" s="968"/>
      <c r="D709" s="570"/>
      <c r="E709" s="2028"/>
      <c r="F709" s="2028"/>
      <c r="G709" s="2028"/>
      <c r="H709" s="2028"/>
      <c r="I709" s="2028"/>
      <c r="J709" s="2028"/>
      <c r="K709" s="2028"/>
      <c r="L709" s="2028"/>
      <c r="M709" s="2028"/>
      <c r="N709" s="2028"/>
      <c r="O709" s="2028"/>
      <c r="P709" s="2028"/>
      <c r="Q709" s="2028"/>
      <c r="R709" s="2028"/>
      <c r="S709" s="2028"/>
      <c r="T709" s="2028"/>
      <c r="U709" s="2028"/>
      <c r="V709" s="2028"/>
      <c r="W709" s="2028"/>
      <c r="X709" s="2028"/>
      <c r="Y709" s="2028"/>
      <c r="Z709" s="2028"/>
      <c r="AA709" s="2028"/>
      <c r="AB709" s="2028"/>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8"/>
      <c r="F710" s="2028"/>
      <c r="G710" s="2028"/>
      <c r="H710" s="2028"/>
      <c r="I710" s="2028"/>
      <c r="J710" s="2028"/>
      <c r="K710" s="2028"/>
      <c r="L710" s="2028"/>
      <c r="M710" s="2028"/>
      <c r="N710" s="2028"/>
      <c r="O710" s="2028"/>
      <c r="P710" s="2028"/>
      <c r="Q710" s="2028"/>
      <c r="R710" s="2028"/>
      <c r="S710" s="2028"/>
      <c r="T710" s="2028"/>
      <c r="U710" s="2028"/>
      <c r="V710" s="2028"/>
      <c r="W710" s="2028"/>
      <c r="X710" s="2028"/>
      <c r="Y710" s="2028"/>
      <c r="Z710" s="2028"/>
      <c r="AA710" s="2028"/>
      <c r="AB710" s="2028"/>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1511</v>
      </c>
      <c r="E712" s="971"/>
      <c r="F712" s="971"/>
      <c r="G712" s="971"/>
      <c r="H712" s="2019" t="s">
        <v>600</v>
      </c>
      <c r="I712" s="201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70">
        <f>VLOOKUP($H$712,$AP$709:$AQ$711,2,FALSE)</f>
        <v>0</v>
      </c>
      <c r="AK714" s="1972"/>
      <c r="AL714" s="629"/>
      <c r="AM714" s="584"/>
      <c r="AN714" s="718"/>
      <c r="AP714" s="1970"/>
      <c r="AQ714" s="1972"/>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90" t="s">
        <v>1886</v>
      </c>
      <c r="F718" s="1990"/>
      <c r="G718" s="1990"/>
      <c r="H718" s="1990"/>
      <c r="I718" s="1990"/>
      <c r="J718" s="1990"/>
      <c r="K718" s="1990"/>
      <c r="L718" s="1990"/>
      <c r="M718" s="1990"/>
      <c r="N718" s="1990"/>
      <c r="O718" s="1990"/>
      <c r="P718" s="1990"/>
      <c r="Q718" s="1990"/>
      <c r="R718" s="1990"/>
      <c r="S718" s="1990"/>
      <c r="T718" s="1990"/>
      <c r="U718" s="1990"/>
      <c r="V718" s="1990"/>
      <c r="W718" s="1990"/>
      <c r="X718" s="1990"/>
      <c r="Y718" s="1990"/>
      <c r="Z718" s="1990"/>
      <c r="AA718" s="1990"/>
      <c r="AB718" s="1990"/>
      <c r="AC718" s="570"/>
      <c r="AD718" s="570"/>
      <c r="AE718" s="570"/>
      <c r="AF718" s="1936" t="s">
        <v>1463</v>
      </c>
      <c r="AG718" s="1936"/>
      <c r="AH718" s="1936"/>
      <c r="AI718" s="1936"/>
      <c r="AJ718" s="1936"/>
      <c r="AK718" s="1936"/>
      <c r="AL718" s="1936"/>
      <c r="AM718" s="584"/>
      <c r="AN718" s="718"/>
      <c r="AT718" s="14"/>
      <c r="AU718" s="14"/>
      <c r="AV718" s="14"/>
      <c r="AW718" s="14"/>
      <c r="AX718" s="14"/>
      <c r="AY718" s="14"/>
      <c r="AZ718" s="14"/>
    </row>
    <row r="719" spans="1:52" s="604" customFormat="1" ht="13">
      <c r="A719" s="584"/>
      <c r="B719" s="570"/>
      <c r="C719" s="968"/>
      <c r="D719" s="697"/>
      <c r="E719" s="1990"/>
      <c r="F719" s="1990"/>
      <c r="G719" s="1990"/>
      <c r="H719" s="1990"/>
      <c r="I719" s="1990"/>
      <c r="J719" s="1990"/>
      <c r="K719" s="1990"/>
      <c r="L719" s="1990"/>
      <c r="M719" s="1990"/>
      <c r="N719" s="1990"/>
      <c r="O719" s="1990"/>
      <c r="P719" s="1990"/>
      <c r="Q719" s="1990"/>
      <c r="R719" s="1990"/>
      <c r="S719" s="1990"/>
      <c r="T719" s="1990"/>
      <c r="U719" s="1990"/>
      <c r="V719" s="1990"/>
      <c r="W719" s="1990"/>
      <c r="X719" s="1990"/>
      <c r="Y719" s="1990"/>
      <c r="Z719" s="1990"/>
      <c r="AA719" s="1990"/>
      <c r="AB719" s="199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90" t="s">
        <v>1550</v>
      </c>
      <c r="F721" s="1990"/>
      <c r="G721" s="1990"/>
      <c r="H721" s="1990"/>
      <c r="I721" s="1990"/>
      <c r="J721" s="1990"/>
      <c r="K721" s="1990"/>
      <c r="L721" s="1990"/>
      <c r="M721" s="1990"/>
      <c r="N721" s="1990"/>
      <c r="O721" s="1990"/>
      <c r="P721" s="1990"/>
      <c r="Q721" s="1990"/>
      <c r="R721" s="1990"/>
      <c r="S721" s="1990"/>
      <c r="T721" s="1990"/>
      <c r="U721" s="1990"/>
      <c r="V721" s="1990"/>
      <c r="W721" s="1990"/>
      <c r="X721" s="1990"/>
      <c r="Y721" s="1990"/>
      <c r="Z721" s="1990"/>
      <c r="AA721" s="1990"/>
      <c r="AB721" s="1990"/>
      <c r="AC721" s="570"/>
      <c r="AD721" s="570"/>
      <c r="AE721" s="570"/>
      <c r="AF721" s="1936" t="s">
        <v>1519</v>
      </c>
      <c r="AG721" s="1936"/>
      <c r="AH721" s="1936"/>
      <c r="AI721" s="1936"/>
      <c r="AJ721" s="1936"/>
      <c r="AK721" s="1936"/>
      <c r="AL721" s="1936"/>
      <c r="AM721" s="584"/>
      <c r="AN721" s="718"/>
      <c r="AT721" s="14"/>
      <c r="AU721" s="14"/>
      <c r="AV721" s="14"/>
      <c r="AW721" s="14"/>
      <c r="AX721" s="14"/>
      <c r="AY721" s="14"/>
      <c r="AZ721" s="14"/>
    </row>
    <row r="722" spans="1:81" s="604" customFormat="1" ht="13">
      <c r="A722" s="584"/>
      <c r="B722" s="570"/>
      <c r="C722" s="968"/>
      <c r="D722" s="570"/>
      <c r="E722" s="1990"/>
      <c r="F722" s="1990"/>
      <c r="G722" s="1990"/>
      <c r="H722" s="1990"/>
      <c r="I722" s="1990"/>
      <c r="J722" s="1990"/>
      <c r="K722" s="1990"/>
      <c r="L722" s="1990"/>
      <c r="M722" s="1990"/>
      <c r="N722" s="1990"/>
      <c r="O722" s="1990"/>
      <c r="P722" s="1990"/>
      <c r="Q722" s="1990"/>
      <c r="R722" s="1990"/>
      <c r="S722" s="1990"/>
      <c r="T722" s="1990"/>
      <c r="U722" s="1990"/>
      <c r="V722" s="1990"/>
      <c r="W722" s="1990"/>
      <c r="X722" s="1990"/>
      <c r="Y722" s="1990"/>
      <c r="Z722" s="1990"/>
      <c r="AA722" s="1990"/>
      <c r="AB722" s="199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2019" t="s">
        <v>600</v>
      </c>
      <c r="I724" s="201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70">
        <f>VLOOKUP($H$724,$AO$655:$AP$657,2,FALSE)</f>
        <v>0</v>
      </c>
      <c r="AK726" s="1972"/>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90" t="s">
        <v>1553</v>
      </c>
      <c r="F730" s="1990"/>
      <c r="G730" s="1990"/>
      <c r="H730" s="1990"/>
      <c r="I730" s="1990"/>
      <c r="J730" s="1990"/>
      <c r="K730" s="1990"/>
      <c r="L730" s="1990"/>
      <c r="M730" s="1990"/>
      <c r="N730" s="1990"/>
      <c r="O730" s="1990"/>
      <c r="P730" s="1990"/>
      <c r="Q730" s="1990"/>
      <c r="R730" s="1990"/>
      <c r="S730" s="1990"/>
      <c r="T730" s="1990"/>
      <c r="U730" s="1990"/>
      <c r="V730" s="1990"/>
      <c r="W730" s="1990"/>
      <c r="X730" s="1990"/>
      <c r="Y730" s="1990"/>
      <c r="Z730" s="1990"/>
      <c r="AA730" s="1990"/>
      <c r="AB730" s="1990"/>
      <c r="AC730" s="570"/>
      <c r="AD730" s="570"/>
      <c r="AE730" s="570"/>
      <c r="AF730" s="1936" t="s">
        <v>1463</v>
      </c>
      <c r="AG730" s="1936"/>
      <c r="AH730" s="1936"/>
      <c r="AI730" s="1936"/>
      <c r="AJ730" s="1936"/>
      <c r="AK730" s="1936"/>
      <c r="AL730" s="1936"/>
      <c r="AM730" s="584"/>
      <c r="AN730" s="718"/>
      <c r="AT730" s="14"/>
      <c r="AU730" s="14"/>
      <c r="AV730" s="14"/>
      <c r="AW730" s="14"/>
      <c r="AX730" s="14"/>
      <c r="AY730" s="14"/>
      <c r="AZ730" s="14"/>
    </row>
    <row r="731" spans="1:81" s="604" customFormat="1" ht="13">
      <c r="A731" s="584"/>
      <c r="B731" s="570"/>
      <c r="C731" s="966"/>
      <c r="D731" s="697"/>
      <c r="E731" s="1990"/>
      <c r="F731" s="1990"/>
      <c r="G731" s="1990"/>
      <c r="H731" s="1990"/>
      <c r="I731" s="1990"/>
      <c r="J731" s="1990"/>
      <c r="K731" s="1990"/>
      <c r="L731" s="1990"/>
      <c r="M731" s="1990"/>
      <c r="N731" s="1990"/>
      <c r="O731" s="1990"/>
      <c r="P731" s="1990"/>
      <c r="Q731" s="1990"/>
      <c r="R731" s="1990"/>
      <c r="S731" s="1990"/>
      <c r="T731" s="1990"/>
      <c r="U731" s="1990"/>
      <c r="V731" s="1990"/>
      <c r="W731" s="1990"/>
      <c r="X731" s="1990"/>
      <c r="Y731" s="1990"/>
      <c r="Z731" s="1990"/>
      <c r="AA731" s="1990"/>
      <c r="AB731" s="199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90"/>
      <c r="F732" s="1990"/>
      <c r="G732" s="1990"/>
      <c r="H732" s="1990"/>
      <c r="I732" s="1990"/>
      <c r="J732" s="1990"/>
      <c r="K732" s="1990"/>
      <c r="L732" s="1990"/>
      <c r="M732" s="1990"/>
      <c r="N732" s="1990"/>
      <c r="O732" s="1990"/>
      <c r="P732" s="1990"/>
      <c r="Q732" s="1990"/>
      <c r="R732" s="1990"/>
      <c r="S732" s="1990"/>
      <c r="T732" s="1990"/>
      <c r="U732" s="1990"/>
      <c r="V732" s="1990"/>
      <c r="W732" s="1990"/>
      <c r="X732" s="1990"/>
      <c r="Y732" s="1990"/>
      <c r="Z732" s="1990"/>
      <c r="AA732" s="1990"/>
      <c r="AB732" s="199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0"/>
      <c r="F733" s="1990"/>
      <c r="G733" s="1990"/>
      <c r="H733" s="1990"/>
      <c r="I733" s="1990"/>
      <c r="J733" s="1990"/>
      <c r="K733" s="1990"/>
      <c r="L733" s="1990"/>
      <c r="M733" s="1990"/>
      <c r="N733" s="1990"/>
      <c r="O733" s="1990"/>
      <c r="P733" s="1990"/>
      <c r="Q733" s="1990"/>
      <c r="R733" s="1990"/>
      <c r="S733" s="1990"/>
      <c r="T733" s="1990"/>
      <c r="U733" s="1990"/>
      <c r="V733" s="1990"/>
      <c r="W733" s="1990"/>
      <c r="X733" s="1990"/>
      <c r="Y733" s="1990"/>
      <c r="Z733" s="1990"/>
      <c r="AA733" s="1990"/>
      <c r="AB733" s="199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90" t="s">
        <v>1554</v>
      </c>
      <c r="F735" s="1990"/>
      <c r="G735" s="1990"/>
      <c r="H735" s="1990"/>
      <c r="I735" s="1990"/>
      <c r="J735" s="1990"/>
      <c r="K735" s="1990"/>
      <c r="L735" s="1990"/>
      <c r="M735" s="1990"/>
      <c r="N735" s="1990"/>
      <c r="O735" s="1990"/>
      <c r="P735" s="1990"/>
      <c r="Q735" s="1990"/>
      <c r="R735" s="1990"/>
      <c r="S735" s="1990"/>
      <c r="T735" s="1990"/>
      <c r="U735" s="1990"/>
      <c r="V735" s="1990"/>
      <c r="W735" s="1990"/>
      <c r="X735" s="1990"/>
      <c r="Y735" s="1990"/>
      <c r="Z735" s="1990"/>
      <c r="AA735" s="1990"/>
      <c r="AB735" s="609"/>
      <c r="AC735" s="570"/>
      <c r="AD735" s="570"/>
      <c r="AE735" s="570"/>
      <c r="AF735" s="1936" t="s">
        <v>1519</v>
      </c>
      <c r="AG735" s="1936"/>
      <c r="AH735" s="1936"/>
      <c r="AI735" s="1936"/>
      <c r="AJ735" s="1936"/>
      <c r="AK735" s="1936"/>
      <c r="AL735" s="1936"/>
      <c r="AM735" s="584"/>
      <c r="AN735" s="718"/>
      <c r="AO735" s="30"/>
      <c r="AP735" s="14"/>
    </row>
    <row r="736" spans="1:81" s="604" customFormat="1" ht="13">
      <c r="A736" s="584"/>
      <c r="B736" s="570"/>
      <c r="C736" s="966"/>
      <c r="D736" s="697"/>
      <c r="E736" s="1990"/>
      <c r="F736" s="1990"/>
      <c r="G736" s="1990"/>
      <c r="H736" s="1990"/>
      <c r="I736" s="1990"/>
      <c r="J736" s="1990"/>
      <c r="K736" s="1990"/>
      <c r="L736" s="1990"/>
      <c r="M736" s="1990"/>
      <c r="N736" s="1990"/>
      <c r="O736" s="1990"/>
      <c r="P736" s="1990"/>
      <c r="Q736" s="1990"/>
      <c r="R736" s="1990"/>
      <c r="S736" s="1990"/>
      <c r="T736" s="1990"/>
      <c r="U736" s="1990"/>
      <c r="V736" s="1990"/>
      <c r="W736" s="1990"/>
      <c r="X736" s="1990"/>
      <c r="Y736" s="1990"/>
      <c r="Z736" s="1990"/>
      <c r="AA736" s="1990"/>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90"/>
      <c r="F737" s="1990"/>
      <c r="G737" s="1990"/>
      <c r="H737" s="1990"/>
      <c r="I737" s="1990"/>
      <c r="J737" s="1990"/>
      <c r="K737" s="1990"/>
      <c r="L737" s="1990"/>
      <c r="M737" s="1990"/>
      <c r="N737" s="1990"/>
      <c r="O737" s="1990"/>
      <c r="P737" s="1990"/>
      <c r="Q737" s="1990"/>
      <c r="R737" s="1990"/>
      <c r="S737" s="1990"/>
      <c r="T737" s="1990"/>
      <c r="U737" s="1990"/>
      <c r="V737" s="1990"/>
      <c r="W737" s="1990"/>
      <c r="X737" s="1990"/>
      <c r="Y737" s="1990"/>
      <c r="Z737" s="1990"/>
      <c r="AA737" s="1990"/>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90"/>
      <c r="F738" s="1990"/>
      <c r="G738" s="1990"/>
      <c r="H738" s="1990"/>
      <c r="I738" s="1990"/>
      <c r="J738" s="1990"/>
      <c r="K738" s="1990"/>
      <c r="L738" s="1990"/>
      <c r="M738" s="1990"/>
      <c r="N738" s="1990"/>
      <c r="O738" s="1990"/>
      <c r="P738" s="1990"/>
      <c r="Q738" s="1990"/>
      <c r="R738" s="1990"/>
      <c r="S738" s="1990"/>
      <c r="T738" s="1990"/>
      <c r="U738" s="1990"/>
      <c r="V738" s="1990"/>
      <c r="W738" s="1990"/>
      <c r="X738" s="1990"/>
      <c r="Y738" s="1990"/>
      <c r="Z738" s="1990"/>
      <c r="AA738" s="1990"/>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2019" t="s">
        <v>697</v>
      </c>
      <c r="I740" s="201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70">
        <f>VLOOKUP($H$740,$AO$669:$AP$671,2,FALSE)</f>
        <v>3</v>
      </c>
      <c r="AK742" s="1972"/>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90" t="s">
        <v>1556</v>
      </c>
      <c r="F746" s="1990"/>
      <c r="G746" s="1990"/>
      <c r="H746" s="1990"/>
      <c r="I746" s="1990"/>
      <c r="J746" s="1990"/>
      <c r="K746" s="1990"/>
      <c r="L746" s="1990"/>
      <c r="M746" s="1990"/>
      <c r="N746" s="1990"/>
      <c r="O746" s="1990"/>
      <c r="P746" s="1990"/>
      <c r="Q746" s="1990"/>
      <c r="R746" s="1990"/>
      <c r="S746" s="1990"/>
      <c r="T746" s="1990"/>
      <c r="U746" s="1990"/>
      <c r="V746" s="1990"/>
      <c r="W746" s="1990"/>
      <c r="X746" s="1990"/>
      <c r="Y746" s="1990"/>
      <c r="Z746" s="1990"/>
      <c r="AA746" s="1990"/>
      <c r="AB746" s="1990"/>
      <c r="AC746" s="570"/>
      <c r="AD746" s="570"/>
      <c r="AE746" s="570"/>
      <c r="AF746" s="1936" t="s">
        <v>1519</v>
      </c>
      <c r="AG746" s="1936"/>
      <c r="AH746" s="1936"/>
      <c r="AI746" s="1936"/>
      <c r="AJ746" s="1936"/>
      <c r="AK746" s="1936"/>
      <c r="AL746" s="1936"/>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90"/>
      <c r="F747" s="1990"/>
      <c r="G747" s="1990"/>
      <c r="H747" s="1990"/>
      <c r="I747" s="1990"/>
      <c r="J747" s="1990"/>
      <c r="K747" s="1990"/>
      <c r="L747" s="1990"/>
      <c r="M747" s="1990"/>
      <c r="N747" s="1990"/>
      <c r="O747" s="1990"/>
      <c r="P747" s="1990"/>
      <c r="Q747" s="1990"/>
      <c r="R747" s="1990"/>
      <c r="S747" s="1990"/>
      <c r="T747" s="1990"/>
      <c r="U747" s="1990"/>
      <c r="V747" s="1990"/>
      <c r="W747" s="1990"/>
      <c r="X747" s="1990"/>
      <c r="Y747" s="1990"/>
      <c r="Z747" s="1990"/>
      <c r="AA747" s="1990"/>
      <c r="AB747" s="199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90" t="s">
        <v>1557</v>
      </c>
      <c r="F749" s="1990"/>
      <c r="G749" s="1990"/>
      <c r="H749" s="1990"/>
      <c r="I749" s="1990"/>
      <c r="J749" s="1990"/>
      <c r="K749" s="1990"/>
      <c r="L749" s="1990"/>
      <c r="M749" s="1990"/>
      <c r="N749" s="1990"/>
      <c r="O749" s="1990"/>
      <c r="P749" s="1990"/>
      <c r="Q749" s="1990"/>
      <c r="R749" s="1990"/>
      <c r="S749" s="1990"/>
      <c r="T749" s="1990"/>
      <c r="U749" s="1990"/>
      <c r="V749" s="1990"/>
      <c r="W749" s="1990"/>
      <c r="X749" s="1990"/>
      <c r="Y749" s="1990"/>
      <c r="Z749" s="1990"/>
      <c r="AA749" s="1990"/>
      <c r="AB749" s="1990"/>
      <c r="AC749" s="570"/>
      <c r="AD749" s="570"/>
      <c r="AE749" s="570"/>
      <c r="AF749" s="1936" t="s">
        <v>1536</v>
      </c>
      <c r="AG749" s="1936"/>
      <c r="AH749" s="1936"/>
      <c r="AI749" s="1936"/>
      <c r="AJ749" s="1936"/>
      <c r="AK749" s="1936"/>
      <c r="AL749" s="1936"/>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0"/>
      <c r="F750" s="1990"/>
      <c r="G750" s="1990"/>
      <c r="H750" s="1990"/>
      <c r="I750" s="1990"/>
      <c r="J750" s="1990"/>
      <c r="K750" s="1990"/>
      <c r="L750" s="1990"/>
      <c r="M750" s="1990"/>
      <c r="N750" s="1990"/>
      <c r="O750" s="1990"/>
      <c r="P750" s="1990"/>
      <c r="Q750" s="1990"/>
      <c r="R750" s="1990"/>
      <c r="S750" s="1990"/>
      <c r="T750" s="1990"/>
      <c r="U750" s="1990"/>
      <c r="V750" s="1990"/>
      <c r="W750" s="1990"/>
      <c r="X750" s="1990"/>
      <c r="Y750" s="1990"/>
      <c r="Z750" s="1990"/>
      <c r="AA750" s="1990"/>
      <c r="AB750" s="199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2019" t="s">
        <v>697</v>
      </c>
      <c r="I752" s="201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70">
        <f>VLOOKUP($H$752,$AO$686:$AP$688,2,FALSE)</f>
        <v>2</v>
      </c>
      <c r="AK754" s="1972"/>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90" t="s">
        <v>1882</v>
      </c>
      <c r="F758" s="1990"/>
      <c r="G758" s="1990"/>
      <c r="H758" s="1990"/>
      <c r="I758" s="1990"/>
      <c r="J758" s="1990"/>
      <c r="K758" s="1990"/>
      <c r="L758" s="1990"/>
      <c r="M758" s="1990"/>
      <c r="N758" s="1990"/>
      <c r="O758" s="1990"/>
      <c r="P758" s="1990"/>
      <c r="Q758" s="1990"/>
      <c r="R758" s="1990"/>
      <c r="S758" s="1990"/>
      <c r="T758" s="1990"/>
      <c r="U758" s="1990"/>
      <c r="V758" s="1990"/>
      <c r="W758" s="1990"/>
      <c r="X758" s="1990"/>
      <c r="Y758" s="1990"/>
      <c r="Z758" s="1990"/>
      <c r="AA758" s="1990"/>
      <c r="AB758" s="1990"/>
      <c r="AC758" s="1990"/>
      <c r="AD758" s="1990"/>
      <c r="AE758" s="570"/>
      <c r="AF758" s="1936" t="s">
        <v>1519</v>
      </c>
      <c r="AG758" s="1936"/>
      <c r="AH758" s="1936"/>
      <c r="AI758" s="1936"/>
      <c r="AJ758" s="1936"/>
      <c r="AK758" s="1936"/>
      <c r="AL758" s="1936"/>
      <c r="AM758" s="647"/>
      <c r="AN758" s="718"/>
      <c r="AO758" s="584" t="s">
        <v>600</v>
      </c>
      <c r="AP758" s="707">
        <v>0</v>
      </c>
    </row>
    <row r="759" spans="1:74" s="604" customFormat="1" ht="13.75" customHeight="1">
      <c r="A759" s="584"/>
      <c r="B759" s="650"/>
      <c r="C759" s="975"/>
      <c r="D759" s="697"/>
      <c r="E759" s="1990"/>
      <c r="F759" s="1990"/>
      <c r="G759" s="1990"/>
      <c r="H759" s="1990"/>
      <c r="I759" s="1990"/>
      <c r="J759" s="1990"/>
      <c r="K759" s="1990"/>
      <c r="L759" s="1990"/>
      <c r="M759" s="1990"/>
      <c r="N759" s="1990"/>
      <c r="O759" s="1990"/>
      <c r="P759" s="1990"/>
      <c r="Q759" s="1990"/>
      <c r="R759" s="1990"/>
      <c r="S759" s="1990"/>
      <c r="T759" s="1990"/>
      <c r="U759" s="1990"/>
      <c r="V759" s="1990"/>
      <c r="W759" s="1990"/>
      <c r="X759" s="1990"/>
      <c r="Y759" s="1990"/>
      <c r="Z759" s="1990"/>
      <c r="AA759" s="1990"/>
      <c r="AB759" s="1990"/>
      <c r="AC759" s="1990"/>
      <c r="AD759" s="1990"/>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90"/>
      <c r="F760" s="1990"/>
      <c r="G760" s="1990"/>
      <c r="H760" s="1990"/>
      <c r="I760" s="1990"/>
      <c r="J760" s="1990"/>
      <c r="K760" s="1990"/>
      <c r="L760" s="1990"/>
      <c r="M760" s="1990"/>
      <c r="N760" s="1990"/>
      <c r="O760" s="1990"/>
      <c r="P760" s="1990"/>
      <c r="Q760" s="1990"/>
      <c r="R760" s="1990"/>
      <c r="S760" s="1990"/>
      <c r="T760" s="1990"/>
      <c r="U760" s="1990"/>
      <c r="V760" s="1990"/>
      <c r="W760" s="1990"/>
      <c r="X760" s="1990"/>
      <c r="Y760" s="1990"/>
      <c r="Z760" s="1990"/>
      <c r="AA760" s="1990"/>
      <c r="AB760" s="1990"/>
      <c r="AC760" s="1990"/>
      <c r="AD760" s="1990"/>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90"/>
      <c r="F761" s="1990"/>
      <c r="G761" s="1990"/>
      <c r="H761" s="1990"/>
      <c r="I761" s="1990"/>
      <c r="J761" s="1990"/>
      <c r="K761" s="1990"/>
      <c r="L761" s="1990"/>
      <c r="M761" s="1990"/>
      <c r="N761" s="1990"/>
      <c r="O761" s="1990"/>
      <c r="P761" s="1990"/>
      <c r="Q761" s="1990"/>
      <c r="R761" s="1990"/>
      <c r="S761" s="1990"/>
      <c r="T761" s="1990"/>
      <c r="U761" s="1990"/>
      <c r="V761" s="1990"/>
      <c r="W761" s="1990"/>
      <c r="X761" s="1990"/>
      <c r="Y761" s="1990"/>
      <c r="Z761" s="1990"/>
      <c r="AA761" s="1990"/>
      <c r="AB761" s="1990"/>
      <c r="AC761" s="1990"/>
      <c r="AD761" s="199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9" t="s">
        <v>1887</v>
      </c>
      <c r="F763" s="2029"/>
      <c r="G763" s="2029"/>
      <c r="H763" s="2029"/>
      <c r="I763" s="2029"/>
      <c r="J763" s="2029"/>
      <c r="K763" s="2029"/>
      <c r="L763" s="2029"/>
      <c r="M763" s="2029"/>
      <c r="N763" s="2029"/>
      <c r="O763" s="2029"/>
      <c r="P763" s="2029"/>
      <c r="Q763" s="2029"/>
      <c r="R763" s="2029"/>
      <c r="S763" s="2029"/>
      <c r="T763" s="2029"/>
      <c r="U763" s="2029"/>
      <c r="V763" s="2029"/>
      <c r="W763" s="2029"/>
      <c r="X763" s="2029"/>
      <c r="Y763" s="2029"/>
      <c r="Z763" s="2029"/>
      <c r="AA763" s="2029"/>
      <c r="AB763" s="2029"/>
      <c r="AC763" s="2029"/>
      <c r="AD763" s="2029"/>
      <c r="AE763" s="570"/>
      <c r="AF763" s="1936" t="s">
        <v>1463</v>
      </c>
      <c r="AG763" s="1936"/>
      <c r="AH763" s="1936"/>
      <c r="AI763" s="1936"/>
      <c r="AJ763" s="1936"/>
      <c r="AK763" s="1936"/>
      <c r="AL763" s="1936"/>
      <c r="AM763" s="647"/>
      <c r="AN763" s="631"/>
    </row>
    <row r="764" spans="1:74" s="584" customFormat="1" ht="12.75" customHeight="1">
      <c r="B764" s="650"/>
      <c r="C764" s="975"/>
      <c r="D764" s="697"/>
      <c r="E764" s="2029"/>
      <c r="F764" s="2029"/>
      <c r="G764" s="2029"/>
      <c r="H764" s="2029"/>
      <c r="I764" s="2029"/>
      <c r="J764" s="2029"/>
      <c r="K764" s="2029"/>
      <c r="L764" s="2029"/>
      <c r="M764" s="2029"/>
      <c r="N764" s="2029"/>
      <c r="O764" s="2029"/>
      <c r="P764" s="2029"/>
      <c r="Q764" s="2029"/>
      <c r="R764" s="2029"/>
      <c r="S764" s="2029"/>
      <c r="T764" s="2029"/>
      <c r="U764" s="2029"/>
      <c r="V764" s="2029"/>
      <c r="W764" s="2029"/>
      <c r="X764" s="2029"/>
      <c r="Y764" s="2029"/>
      <c r="Z764" s="2029"/>
      <c r="AA764" s="2029"/>
      <c r="AB764" s="2029"/>
      <c r="AC764" s="2029"/>
      <c r="AD764" s="2029"/>
      <c r="AE764" s="628"/>
      <c r="AF764" s="628"/>
      <c r="AG764" s="628"/>
      <c r="AH764" s="628"/>
      <c r="AI764" s="628"/>
      <c r="AJ764" s="628"/>
      <c r="AK764" s="628"/>
      <c r="AL764" s="628"/>
      <c r="AM764" s="647"/>
      <c r="AN764" s="631"/>
    </row>
    <row r="765" spans="1:74" s="584" customFormat="1" ht="12.75" customHeight="1">
      <c r="B765" s="650"/>
      <c r="C765" s="975"/>
      <c r="D765" s="697"/>
      <c r="E765" s="2029"/>
      <c r="F765" s="2029"/>
      <c r="G765" s="2029"/>
      <c r="H765" s="2029"/>
      <c r="I765" s="2029"/>
      <c r="J765" s="2029"/>
      <c r="K765" s="2029"/>
      <c r="L765" s="2029"/>
      <c r="M765" s="2029"/>
      <c r="N765" s="2029"/>
      <c r="O765" s="2029"/>
      <c r="P765" s="2029"/>
      <c r="Q765" s="2029"/>
      <c r="R765" s="2029"/>
      <c r="S765" s="2029"/>
      <c r="T765" s="2029"/>
      <c r="U765" s="2029"/>
      <c r="V765" s="2029"/>
      <c r="W765" s="2029"/>
      <c r="X765" s="2029"/>
      <c r="Y765" s="2029"/>
      <c r="Z765" s="2029"/>
      <c r="AA765" s="2029"/>
      <c r="AB765" s="2029"/>
      <c r="AC765" s="2029"/>
      <c r="AD765" s="2029"/>
      <c r="AE765" s="628"/>
      <c r="AF765" s="628"/>
      <c r="AG765" s="628"/>
      <c r="AH765" s="628"/>
      <c r="AI765" s="628"/>
      <c r="AJ765" s="628"/>
      <c r="AK765" s="628"/>
      <c r="AL765" s="628"/>
      <c r="AM765" s="647"/>
      <c r="AN765" s="631"/>
    </row>
    <row r="766" spans="1:74" s="584" customFormat="1" ht="12.75" customHeight="1">
      <c r="B766" s="650"/>
      <c r="C766" s="975"/>
      <c r="D766" s="697"/>
      <c r="E766" s="2029"/>
      <c r="F766" s="2029"/>
      <c r="G766" s="2029"/>
      <c r="H766" s="2029"/>
      <c r="I766" s="2029"/>
      <c r="J766" s="2029"/>
      <c r="K766" s="2029"/>
      <c r="L766" s="2029"/>
      <c r="M766" s="2029"/>
      <c r="N766" s="2029"/>
      <c r="O766" s="2029"/>
      <c r="P766" s="2029"/>
      <c r="Q766" s="2029"/>
      <c r="R766" s="2029"/>
      <c r="S766" s="2029"/>
      <c r="T766" s="2029"/>
      <c r="U766" s="2029"/>
      <c r="V766" s="2029"/>
      <c r="W766" s="2029"/>
      <c r="X766" s="2029"/>
      <c r="Y766" s="2029"/>
      <c r="Z766" s="2029"/>
      <c r="AA766" s="2029"/>
      <c r="AB766" s="2029"/>
      <c r="AC766" s="2029"/>
      <c r="AD766" s="202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2019" t="s">
        <v>600</v>
      </c>
      <c r="I768" s="201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70">
        <f>VLOOKUP($H$768,$AO$758:$AP$760,2,FALSE)</f>
        <v>0</v>
      </c>
      <c r="AK770" s="1972"/>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90" t="s">
        <v>2347</v>
      </c>
      <c r="F774" s="1990"/>
      <c r="G774" s="1990"/>
      <c r="H774" s="1990"/>
      <c r="I774" s="1990"/>
      <c r="J774" s="1990"/>
      <c r="K774" s="1990"/>
      <c r="L774" s="1990"/>
      <c r="M774" s="1990"/>
      <c r="N774" s="1990"/>
      <c r="O774" s="1990"/>
      <c r="P774" s="1990"/>
      <c r="Q774" s="1990"/>
      <c r="R774" s="1990"/>
      <c r="S774" s="1990"/>
      <c r="T774" s="1990"/>
      <c r="U774" s="1990"/>
      <c r="V774" s="1990"/>
      <c r="W774" s="1990"/>
      <c r="X774" s="1990"/>
      <c r="Y774" s="1990"/>
      <c r="Z774" s="1990"/>
      <c r="AA774" s="1990"/>
      <c r="AB774" s="1990"/>
      <c r="AC774" s="1990"/>
      <c r="AD774" s="1990"/>
      <c r="AE774" s="570"/>
      <c r="AF774" s="1936" t="s">
        <v>1463</v>
      </c>
      <c r="AG774" s="1936"/>
      <c r="AH774" s="1936"/>
      <c r="AI774" s="1936"/>
      <c r="AJ774" s="1936"/>
      <c r="AK774" s="1936"/>
      <c r="AL774" s="1936"/>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90"/>
      <c r="F775" s="1990"/>
      <c r="G775" s="1990"/>
      <c r="H775" s="1990"/>
      <c r="I775" s="1990"/>
      <c r="J775" s="1990"/>
      <c r="K775" s="1990"/>
      <c r="L775" s="1990"/>
      <c r="M775" s="1990"/>
      <c r="N775" s="1990"/>
      <c r="O775" s="1990"/>
      <c r="P775" s="1990"/>
      <c r="Q775" s="1990"/>
      <c r="R775" s="1990"/>
      <c r="S775" s="1990"/>
      <c r="T775" s="1990"/>
      <c r="U775" s="1990"/>
      <c r="V775" s="1990"/>
      <c r="W775" s="1990"/>
      <c r="X775" s="1990"/>
      <c r="Y775" s="1990"/>
      <c r="Z775" s="1990"/>
      <c r="AA775" s="1990"/>
      <c r="AB775" s="1990"/>
      <c r="AC775" s="1990"/>
      <c r="AD775" s="199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90"/>
      <c r="F776" s="1990"/>
      <c r="G776" s="1990"/>
      <c r="H776" s="1990"/>
      <c r="I776" s="1990"/>
      <c r="J776" s="1990"/>
      <c r="K776" s="1990"/>
      <c r="L776" s="1990"/>
      <c r="M776" s="1990"/>
      <c r="N776" s="1990"/>
      <c r="O776" s="1990"/>
      <c r="P776" s="1990"/>
      <c r="Q776" s="1990"/>
      <c r="R776" s="1990"/>
      <c r="S776" s="1990"/>
      <c r="T776" s="1990"/>
      <c r="U776" s="1990"/>
      <c r="V776" s="1990"/>
      <c r="W776" s="1990"/>
      <c r="X776" s="1990"/>
      <c r="Y776" s="1990"/>
      <c r="Z776" s="1990"/>
      <c r="AA776" s="1990"/>
      <c r="AB776" s="1990"/>
      <c r="AC776" s="1990"/>
      <c r="AD776" s="199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90"/>
      <c r="F777" s="1990"/>
      <c r="G777" s="1990"/>
      <c r="H777" s="1990"/>
      <c r="I777" s="1990"/>
      <c r="J777" s="1990"/>
      <c r="K777" s="1990"/>
      <c r="L777" s="1990"/>
      <c r="M777" s="1990"/>
      <c r="N777" s="1990"/>
      <c r="O777" s="1990"/>
      <c r="P777" s="1990"/>
      <c r="Q777" s="1990"/>
      <c r="R777" s="1990"/>
      <c r="S777" s="1990"/>
      <c r="T777" s="1990"/>
      <c r="U777" s="1990"/>
      <c r="V777" s="1990"/>
      <c r="W777" s="1990"/>
      <c r="X777" s="1990"/>
      <c r="Y777" s="1990"/>
      <c r="Z777" s="1990"/>
      <c r="AA777" s="1990"/>
      <c r="AB777" s="1990"/>
      <c r="AC777" s="1990"/>
      <c r="AD777" s="199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1511</v>
      </c>
      <c r="E779" s="971"/>
      <c r="F779" s="971"/>
      <c r="G779" s="971"/>
      <c r="H779" s="2019" t="s">
        <v>600</v>
      </c>
      <c r="I779" s="201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70">
        <f>VLOOKUP($H$779,$AO$773:$AP$774,2,FALSE)</f>
        <v>0</v>
      </c>
      <c r="AK781" s="1972"/>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70">
        <f>IF(($AJ$610+$AJ$629+$AJ$641+$AJ$676+$AJ$700+$AJ$714+$AJ$726+$AJ$742+$AJ$754+$AJ$770+AJ781)&gt;10,10,($AJ$610+$AJ$629+$AJ$641+$AJ$676+$AJ$700+$AJ$714+$AJ$726+$AJ$742+$AJ$754+$AJ$770+AJ781))</f>
        <v>10</v>
      </c>
      <c r="AL783" s="1971"/>
      <c r="AM783" s="1972"/>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0" t="s">
        <v>1680</v>
      </c>
      <c r="B786" s="2081"/>
      <c r="C786" s="2081"/>
      <c r="D786" s="2081"/>
      <c r="E786" s="2081"/>
      <c r="F786" s="2081"/>
      <c r="G786" s="2081"/>
      <c r="H786" s="2081"/>
      <c r="I786" s="2081"/>
      <c r="J786" s="2081"/>
      <c r="K786" s="2081"/>
      <c r="L786" s="2081"/>
      <c r="M786" s="2081"/>
      <c r="N786" s="2081"/>
      <c r="O786" s="2081"/>
      <c r="P786" s="2081"/>
      <c r="Q786" s="2081"/>
      <c r="R786" s="2081"/>
      <c r="S786" s="2081"/>
      <c r="T786" s="2081"/>
      <c r="U786" s="2081"/>
      <c r="V786" s="2081"/>
      <c r="W786" s="2081"/>
      <c r="X786" s="2081"/>
      <c r="Y786" s="2081"/>
      <c r="Z786" s="2081"/>
      <c r="AA786" s="2081"/>
      <c r="AB786" s="2081"/>
      <c r="AC786" s="2081"/>
      <c r="AD786" s="2081"/>
      <c r="AE786" s="2081"/>
      <c r="AF786" s="2081"/>
      <c r="AG786" s="2081"/>
      <c r="AH786" s="2081"/>
      <c r="AI786" s="2081"/>
      <c r="AJ786" s="2081"/>
      <c r="AK786" s="2081"/>
      <c r="AL786" s="2081"/>
      <c r="AM786" s="2081"/>
    </row>
    <row r="787" spans="1:43">
      <c r="A787" s="2082"/>
      <c r="B787" s="2082"/>
      <c r="C787" s="2082"/>
      <c r="D787" s="2082"/>
      <c r="E787" s="2082"/>
      <c r="F787" s="2082"/>
      <c r="G787" s="2082"/>
      <c r="H787" s="2082"/>
      <c r="I787" s="2082"/>
      <c r="J787" s="2082"/>
      <c r="K787" s="2082"/>
      <c r="L787" s="2082"/>
      <c r="M787" s="2082"/>
      <c r="N787" s="2082"/>
      <c r="O787" s="2082"/>
      <c r="P787" s="2082"/>
      <c r="Q787" s="2082"/>
      <c r="R787" s="2082"/>
      <c r="S787" s="2082"/>
      <c r="T787" s="2082"/>
      <c r="U787" s="2082"/>
      <c r="V787" s="2082"/>
      <c r="W787" s="2082"/>
      <c r="X787" s="2082"/>
      <c r="Y787" s="2082"/>
      <c r="Z787" s="2082"/>
      <c r="AA787" s="2082"/>
      <c r="AB787" s="2082"/>
      <c r="AC787" s="2082"/>
      <c r="AD787" s="2082"/>
      <c r="AE787" s="2082"/>
      <c r="AF787" s="2082"/>
      <c r="AG787" s="2082"/>
      <c r="AH787" s="2082"/>
      <c r="AI787" s="2082"/>
      <c r="AJ787" s="2082"/>
      <c r="AK787" s="2082"/>
      <c r="AL787" s="2082"/>
      <c r="AM787" s="2082"/>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11"/>
      <c r="B789" s="2011"/>
      <c r="C789" s="2011"/>
      <c r="D789" s="2011"/>
      <c r="E789" s="2011"/>
      <c r="F789" s="2011"/>
      <c r="G789" s="2011"/>
      <c r="H789" s="2011"/>
      <c r="I789" s="2011"/>
      <c r="J789" s="2011"/>
      <c r="K789" s="2011"/>
      <c r="L789" s="2011"/>
      <c r="M789" s="2011"/>
      <c r="N789" s="2011"/>
      <c r="O789" s="2011"/>
      <c r="P789" s="2011"/>
      <c r="Q789" s="2011"/>
      <c r="R789" s="2011"/>
      <c r="S789" s="2011"/>
      <c r="T789" s="2011"/>
      <c r="U789" s="2011"/>
      <c r="V789" s="2011"/>
      <c r="W789" s="2011"/>
      <c r="X789" s="2011"/>
      <c r="Y789" s="2011"/>
      <c r="Z789" s="2011"/>
      <c r="AA789" s="2011"/>
      <c r="AB789" s="2011"/>
      <c r="AC789" s="2011"/>
      <c r="AD789" s="2011"/>
      <c r="AE789" s="2011"/>
      <c r="AF789" s="2011"/>
      <c r="AG789" s="2011"/>
      <c r="AH789" s="2011"/>
      <c r="AI789" s="2011"/>
      <c r="AJ789" s="2011"/>
      <c r="AK789" s="2011"/>
      <c r="AL789" s="2011"/>
      <c r="AM789" s="2011"/>
      <c r="AP789" s="850"/>
      <c r="AQ789" s="850"/>
    </row>
    <row r="790" spans="1:43" ht="13">
      <c r="A790" s="2011"/>
      <c r="B790" s="2011"/>
      <c r="C790" s="2011"/>
      <c r="D790" s="2011"/>
      <c r="E790" s="2011"/>
      <c r="F790" s="2011"/>
      <c r="G790" s="2011"/>
      <c r="H790" s="2011"/>
      <c r="I790" s="2011"/>
      <c r="J790" s="2011"/>
      <c r="K790" s="2011"/>
      <c r="L790" s="2011"/>
      <c r="M790" s="2011"/>
      <c r="N790" s="2011"/>
      <c r="O790" s="2011"/>
      <c r="P790" s="2011"/>
      <c r="Q790" s="2011"/>
      <c r="R790" s="2011"/>
      <c r="S790" s="2011"/>
      <c r="T790" s="2011"/>
      <c r="U790" s="2011"/>
      <c r="V790" s="2011"/>
      <c r="W790" s="2011"/>
      <c r="X790" s="2011"/>
      <c r="Y790" s="2011"/>
      <c r="Z790" s="2011"/>
      <c r="AA790" s="2011"/>
      <c r="AB790" s="2011"/>
      <c r="AC790" s="2011"/>
      <c r="AD790" s="2011"/>
      <c r="AE790" s="2011"/>
      <c r="AF790" s="2011"/>
      <c r="AG790" s="2011"/>
      <c r="AH790" s="2011"/>
      <c r="AI790" s="2011"/>
      <c r="AJ790" s="2011"/>
      <c r="AK790" s="2011"/>
      <c r="AL790" s="2011"/>
      <c r="AM790" s="2011"/>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83" t="s">
        <v>1681</v>
      </c>
      <c r="U791" s="2084"/>
      <c r="V791" s="2084"/>
      <c r="W791" s="2084"/>
      <c r="X791" s="2084"/>
      <c r="Y791" s="2085"/>
      <c r="Z791" s="2083" t="s">
        <v>1682</v>
      </c>
      <c r="AA791" s="2084"/>
      <c r="AB791" s="2084"/>
      <c r="AC791" s="2084"/>
      <c r="AD791" s="2084"/>
      <c r="AE791" s="2085"/>
      <c r="AF791" s="2083" t="s">
        <v>1683</v>
      </c>
      <c r="AG791" s="2084"/>
      <c r="AH791" s="2084"/>
      <c r="AI791" s="2084"/>
      <c r="AJ791" s="2084"/>
      <c r="AK791" s="2085"/>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86"/>
      <c r="U792" s="2087"/>
      <c r="V792" s="2087"/>
      <c r="W792" s="2087"/>
      <c r="X792" s="2087"/>
      <c r="Y792" s="2088"/>
      <c r="Z792" s="2086"/>
      <c r="AA792" s="2087"/>
      <c r="AB792" s="2087"/>
      <c r="AC792" s="2087"/>
      <c r="AD792" s="2087"/>
      <c r="AE792" s="2088"/>
      <c r="AF792" s="2086"/>
      <c r="AG792" s="2087"/>
      <c r="AH792" s="2087"/>
      <c r="AI792" s="2087"/>
      <c r="AJ792" s="2087"/>
      <c r="AK792" s="2088"/>
      <c r="AL792" s="852"/>
      <c r="AM792" s="630"/>
      <c r="AO792" s="850"/>
      <c r="AP792" s="850"/>
      <c r="AQ792" s="850"/>
    </row>
    <row r="793" spans="1:43" ht="13">
      <c r="A793" s="853" t="s">
        <v>767</v>
      </c>
      <c r="B793" s="2063" t="s">
        <v>1415</v>
      </c>
      <c r="C793" s="2063"/>
      <c r="D793" s="2063"/>
      <c r="E793" s="2063"/>
      <c r="F793" s="2063"/>
      <c r="G793" s="2063"/>
      <c r="H793" s="2063"/>
      <c r="I793" s="2063"/>
      <c r="J793" s="2063"/>
      <c r="K793" s="2063"/>
      <c r="L793" s="2063"/>
      <c r="M793" s="2063"/>
      <c r="N793" s="2063"/>
      <c r="O793" s="2063"/>
      <c r="P793" s="2063"/>
      <c r="Q793" s="2063"/>
      <c r="R793" s="2063"/>
      <c r="S793" s="2064"/>
      <c r="T793" s="2065">
        <f>AK56</f>
        <v>0</v>
      </c>
      <c r="U793" s="2066"/>
      <c r="V793" s="2066"/>
      <c r="W793" s="2066"/>
      <c r="X793" s="2066"/>
      <c r="Y793" s="2067"/>
      <c r="Z793" s="2068">
        <v>20</v>
      </c>
      <c r="AA793" s="2066"/>
      <c r="AB793" s="2066"/>
      <c r="AC793" s="2066"/>
      <c r="AD793" s="2066"/>
      <c r="AE793" s="2067"/>
      <c r="AF793" s="2032">
        <f>IF(T793&gt;Z793,Z793,T793)</f>
        <v>0</v>
      </c>
      <c r="AG793" s="2032"/>
      <c r="AH793" s="2032"/>
      <c r="AI793" s="2032"/>
      <c r="AJ793" s="2032"/>
      <c r="AK793" s="2032"/>
      <c r="AL793" s="852"/>
      <c r="AM793" s="630"/>
      <c r="AO793" s="850"/>
      <c r="AP793" s="850"/>
      <c r="AQ793" s="850"/>
    </row>
    <row r="794" spans="1:43" ht="13">
      <c r="A794" s="853" t="s">
        <v>1653</v>
      </c>
      <c r="B794" s="2063" t="s">
        <v>1424</v>
      </c>
      <c r="C794" s="2063"/>
      <c r="D794" s="2063"/>
      <c r="E794" s="2063"/>
      <c r="F794" s="2063"/>
      <c r="G794" s="2063"/>
      <c r="H794" s="2063"/>
      <c r="I794" s="2063"/>
      <c r="J794" s="2063"/>
      <c r="K794" s="2063"/>
      <c r="L794" s="2063"/>
      <c r="M794" s="2063"/>
      <c r="N794" s="2063"/>
      <c r="O794" s="2063"/>
      <c r="P794" s="2063"/>
      <c r="Q794" s="2063"/>
      <c r="R794" s="2063"/>
      <c r="S794" s="2064"/>
      <c r="T794" s="2065">
        <f>AK78</f>
        <v>10</v>
      </c>
      <c r="U794" s="2066"/>
      <c r="V794" s="2066"/>
      <c r="W794" s="2066"/>
      <c r="X794" s="2066"/>
      <c r="Y794" s="2067"/>
      <c r="Z794" s="2068">
        <v>10</v>
      </c>
      <c r="AA794" s="2066"/>
      <c r="AB794" s="2066"/>
      <c r="AC794" s="2066"/>
      <c r="AD794" s="2066"/>
      <c r="AE794" s="2067"/>
      <c r="AF794" s="2032">
        <f>IF(T794&gt;Z794,Z794,T794)</f>
        <v>10</v>
      </c>
      <c r="AG794" s="2032"/>
      <c r="AH794" s="2032"/>
      <c r="AI794" s="2032"/>
      <c r="AJ794" s="2032"/>
      <c r="AK794" s="2032"/>
      <c r="AL794" s="852"/>
      <c r="AM794" s="630"/>
      <c r="AO794" s="850"/>
      <c r="AP794" s="850"/>
      <c r="AQ794" s="850"/>
    </row>
    <row r="795" spans="1:43" ht="13">
      <c r="A795" s="853" t="s">
        <v>1662</v>
      </c>
      <c r="B795" s="2063" t="s">
        <v>1434</v>
      </c>
      <c r="C795" s="2063"/>
      <c r="D795" s="2063"/>
      <c r="E795" s="2063"/>
      <c r="F795" s="2063"/>
      <c r="G795" s="2063"/>
      <c r="H795" s="2063"/>
      <c r="I795" s="2063"/>
      <c r="J795" s="2063"/>
      <c r="K795" s="2063"/>
      <c r="L795" s="2063"/>
      <c r="M795" s="2063"/>
      <c r="N795" s="2063"/>
      <c r="O795" s="2063"/>
      <c r="P795" s="2063"/>
      <c r="Q795" s="2063"/>
      <c r="R795" s="2063"/>
      <c r="S795" s="2064"/>
      <c r="T795" s="2065">
        <f ca="1">AK103</f>
        <v>20</v>
      </c>
      <c r="U795" s="2066"/>
      <c r="V795" s="2066"/>
      <c r="W795" s="2066"/>
      <c r="X795" s="2066"/>
      <c r="Y795" s="2067"/>
      <c r="Z795" s="2068">
        <v>20</v>
      </c>
      <c r="AA795" s="2066"/>
      <c r="AB795" s="2066"/>
      <c r="AC795" s="2066"/>
      <c r="AD795" s="2066"/>
      <c r="AE795" s="2067"/>
      <c r="AF795" s="2032">
        <f ca="1">IF(T795&gt;Z795,Z795,T795)</f>
        <v>20</v>
      </c>
      <c r="AG795" s="2032"/>
      <c r="AH795" s="2032"/>
      <c r="AI795" s="2032"/>
      <c r="AJ795" s="2032"/>
      <c r="AK795" s="2032"/>
      <c r="AL795" s="852"/>
      <c r="AM795" s="630"/>
      <c r="AO795" s="850"/>
      <c r="AP795" s="850"/>
      <c r="AQ795" s="850"/>
    </row>
    <row r="796" spans="1:43" ht="13">
      <c r="A796" s="853" t="s">
        <v>1684</v>
      </c>
      <c r="B796" s="2063" t="s">
        <v>1444</v>
      </c>
      <c r="C796" s="2063"/>
      <c r="D796" s="2063"/>
      <c r="E796" s="2063"/>
      <c r="F796" s="2063"/>
      <c r="G796" s="2063"/>
      <c r="H796" s="2063"/>
      <c r="I796" s="2063"/>
      <c r="J796" s="2063"/>
      <c r="K796" s="2063"/>
      <c r="L796" s="2063"/>
      <c r="M796" s="2063"/>
      <c r="N796" s="2063"/>
      <c r="O796" s="2063"/>
      <c r="P796" s="2063"/>
      <c r="Q796" s="2063"/>
      <c r="R796" s="2063"/>
      <c r="S796" s="2064"/>
      <c r="T796" s="2065">
        <f>AK137</f>
        <v>10</v>
      </c>
      <c r="U796" s="2066"/>
      <c r="V796" s="2066"/>
      <c r="W796" s="2066"/>
      <c r="X796" s="2066"/>
      <c r="Y796" s="2067"/>
      <c r="Z796" s="2068">
        <v>10</v>
      </c>
      <c r="AA796" s="2066"/>
      <c r="AB796" s="2066"/>
      <c r="AC796" s="2066"/>
      <c r="AD796" s="2066"/>
      <c r="AE796" s="2067"/>
      <c r="AF796" s="2032">
        <f>IF(T796&gt;Z796,Z796,T796)</f>
        <v>10</v>
      </c>
      <c r="AG796" s="2032"/>
      <c r="AH796" s="2032"/>
      <c r="AI796" s="2032"/>
      <c r="AJ796" s="2032"/>
      <c r="AK796" s="2032"/>
      <c r="AL796" s="852"/>
      <c r="AM796" s="630"/>
      <c r="AO796" s="850"/>
      <c r="AP796" s="850"/>
      <c r="AQ796" s="850"/>
    </row>
    <row r="797" spans="1:43" ht="13">
      <c r="A797" s="854" t="s">
        <v>1685</v>
      </c>
      <c r="B797" s="2063" t="s">
        <v>1686</v>
      </c>
      <c r="C797" s="2063"/>
      <c r="D797" s="2063"/>
      <c r="E797" s="2063"/>
      <c r="F797" s="2063"/>
      <c r="G797" s="2063"/>
      <c r="H797" s="2063"/>
      <c r="I797" s="2063"/>
      <c r="J797" s="2063"/>
      <c r="K797" s="2063"/>
      <c r="L797" s="2063"/>
      <c r="M797" s="2063"/>
      <c r="N797" s="2063"/>
      <c r="O797" s="2063"/>
      <c r="P797" s="2063"/>
      <c r="Q797" s="2063"/>
      <c r="R797" s="2063"/>
      <c r="S797" s="2064"/>
      <c r="T797" s="2089">
        <f>SUM(T798:Y799)</f>
        <v>10</v>
      </c>
      <c r="U797" s="2089"/>
      <c r="V797" s="2089"/>
      <c r="W797" s="2089"/>
      <c r="X797" s="2089"/>
      <c r="Y797" s="2089"/>
      <c r="Z797" s="2032">
        <v>10</v>
      </c>
      <c r="AA797" s="2032"/>
      <c r="AB797" s="2032"/>
      <c r="AC797" s="2032"/>
      <c r="AD797" s="2032"/>
      <c r="AE797" s="2032"/>
      <c r="AF797" s="2032">
        <f>IF(T797&gt;Z797,Z797,T797)</f>
        <v>10</v>
      </c>
      <c r="AG797" s="2032"/>
      <c r="AH797" s="2032"/>
      <c r="AI797" s="2032"/>
      <c r="AJ797" s="2032"/>
      <c r="AK797" s="2032"/>
      <c r="AL797" s="852"/>
      <c r="AM797" s="630"/>
    </row>
    <row r="798" spans="1:43" ht="13">
      <c r="A798" s="569"/>
      <c r="B798" s="635"/>
      <c r="C798" s="2090" t="s">
        <v>1687</v>
      </c>
      <c r="D798" s="2090"/>
      <c r="E798" s="2090"/>
      <c r="F798" s="2090"/>
      <c r="G798" s="2090"/>
      <c r="H798" s="2090"/>
      <c r="I798" s="2090"/>
      <c r="J798" s="2090"/>
      <c r="K798" s="2090"/>
      <c r="L798" s="2090"/>
      <c r="M798" s="2090"/>
      <c r="N798" s="2090"/>
      <c r="O798" s="2090"/>
      <c r="P798" s="2090"/>
      <c r="Q798" s="2090"/>
      <c r="R798" s="2090"/>
      <c r="S798" s="2091"/>
      <c r="T798" s="1965">
        <f>AJ155</f>
        <v>7</v>
      </c>
      <c r="U798" s="1965"/>
      <c r="V798" s="1965"/>
      <c r="W798" s="1965"/>
      <c r="X798" s="1965"/>
      <c r="Y798" s="1965"/>
      <c r="Z798" s="1966">
        <v>7</v>
      </c>
      <c r="AA798" s="1966"/>
      <c r="AB798" s="1966"/>
      <c r="AC798" s="1966"/>
      <c r="AD798" s="1966"/>
      <c r="AE798" s="1966"/>
      <c r="AF798" s="2092"/>
      <c r="AG798" s="2092"/>
      <c r="AH798" s="2092"/>
      <c r="AI798" s="2092"/>
      <c r="AJ798" s="2092"/>
      <c r="AK798" s="2092"/>
      <c r="AL798" s="852"/>
      <c r="AM798" s="630"/>
    </row>
    <row r="799" spans="1:43" ht="13">
      <c r="A799" s="634"/>
      <c r="B799" s="635"/>
      <c r="C799" s="2090" t="s">
        <v>1688</v>
      </c>
      <c r="D799" s="2090"/>
      <c r="E799" s="2090"/>
      <c r="F799" s="2090"/>
      <c r="G799" s="2090"/>
      <c r="H799" s="2090"/>
      <c r="I799" s="2090"/>
      <c r="J799" s="2090"/>
      <c r="K799" s="2090"/>
      <c r="L799" s="2090"/>
      <c r="M799" s="2090"/>
      <c r="N799" s="2090"/>
      <c r="O799" s="2090"/>
      <c r="P799" s="2090"/>
      <c r="Q799" s="2090"/>
      <c r="R799" s="2090"/>
      <c r="S799" s="2091"/>
      <c r="T799" s="1965">
        <f>AJ169</f>
        <v>3</v>
      </c>
      <c r="U799" s="1965"/>
      <c r="V799" s="1965"/>
      <c r="W799" s="1965"/>
      <c r="X799" s="1965"/>
      <c r="Y799" s="1965"/>
      <c r="Z799" s="1966">
        <v>3</v>
      </c>
      <c r="AA799" s="1966"/>
      <c r="AB799" s="1966"/>
      <c r="AC799" s="1966"/>
      <c r="AD799" s="1966"/>
      <c r="AE799" s="1966"/>
      <c r="AF799" s="2092"/>
      <c r="AG799" s="2092"/>
      <c r="AH799" s="2092"/>
      <c r="AI799" s="2092"/>
      <c r="AJ799" s="2092"/>
      <c r="AK799" s="2092"/>
      <c r="AL799" s="852"/>
      <c r="AM799" s="630"/>
      <c r="AO799" s="584"/>
    </row>
    <row r="800" spans="1:43" ht="13">
      <c r="A800" s="854" t="s">
        <v>1472</v>
      </c>
      <c r="B800" s="2063" t="s">
        <v>1689</v>
      </c>
      <c r="C800" s="2063"/>
      <c r="D800" s="2063"/>
      <c r="E800" s="2063"/>
      <c r="F800" s="2063"/>
      <c r="G800" s="2063"/>
      <c r="H800" s="2063"/>
      <c r="I800" s="2063"/>
      <c r="J800" s="2063"/>
      <c r="K800" s="2063"/>
      <c r="L800" s="2063"/>
      <c r="M800" s="2063"/>
      <c r="N800" s="2063"/>
      <c r="O800" s="2063"/>
      <c r="P800" s="2063"/>
      <c r="Q800" s="2063"/>
      <c r="R800" s="2063"/>
      <c r="S800" s="2064"/>
      <c r="T800" s="2089">
        <f>AK180</f>
        <v>10</v>
      </c>
      <c r="U800" s="2089"/>
      <c r="V800" s="2089"/>
      <c r="W800" s="2089"/>
      <c r="X800" s="2089"/>
      <c r="Y800" s="2089"/>
      <c r="Z800" s="2032">
        <v>10</v>
      </c>
      <c r="AA800" s="2032"/>
      <c r="AB800" s="2032"/>
      <c r="AC800" s="2032"/>
      <c r="AD800" s="2032"/>
      <c r="AE800" s="2032"/>
      <c r="AF800" s="2032">
        <f>IF(T800&gt;Z800,Z800,T800)</f>
        <v>10</v>
      </c>
      <c r="AG800" s="2032"/>
      <c r="AH800" s="2032"/>
      <c r="AI800" s="2032"/>
      <c r="AJ800" s="2032"/>
      <c r="AK800" s="2032"/>
      <c r="AL800" s="852"/>
      <c r="AM800" s="630"/>
    </row>
    <row r="801" spans="1:81" ht="13">
      <c r="A801" s="853" t="s">
        <v>1481</v>
      </c>
      <c r="B801" s="2063" t="s">
        <v>1482</v>
      </c>
      <c r="C801" s="2063"/>
      <c r="D801" s="2063"/>
      <c r="E801" s="2063"/>
      <c r="F801" s="2063"/>
      <c r="G801" s="2063"/>
      <c r="H801" s="2063"/>
      <c r="I801" s="2063"/>
      <c r="J801" s="2063"/>
      <c r="K801" s="2063"/>
      <c r="L801" s="2063"/>
      <c r="M801" s="2063"/>
      <c r="N801" s="2063"/>
      <c r="O801" s="2063"/>
      <c r="P801" s="2063"/>
      <c r="Q801" s="2063"/>
      <c r="R801" s="2063"/>
      <c r="S801" s="2064"/>
      <c r="T801" s="2089">
        <f>AK262</f>
        <v>8</v>
      </c>
      <c r="U801" s="2089"/>
      <c r="V801" s="2089"/>
      <c r="W801" s="2089"/>
      <c r="X801" s="2089"/>
      <c r="Y801" s="2089"/>
      <c r="Z801" s="2068">
        <v>8</v>
      </c>
      <c r="AA801" s="2066"/>
      <c r="AB801" s="2066"/>
      <c r="AC801" s="2066"/>
      <c r="AD801" s="2066"/>
      <c r="AE801" s="2067"/>
      <c r="AF801" s="2032">
        <f>IF(T801&gt;Z801,Z801,T801)</f>
        <v>8</v>
      </c>
      <c r="AG801" s="2032"/>
      <c r="AH801" s="2032"/>
      <c r="AI801" s="2032"/>
      <c r="AJ801" s="2032"/>
      <c r="AK801" s="2032"/>
      <c r="AL801" s="852"/>
      <c r="AM801" s="630"/>
    </row>
    <row r="802" spans="1:81" s="568" customFormat="1" ht="13" hidden="1">
      <c r="A802" s="854" t="s">
        <v>598</v>
      </c>
      <c r="B802" s="2063" t="s">
        <v>1690</v>
      </c>
      <c r="C802" s="2063"/>
      <c r="D802" s="2063"/>
      <c r="E802" s="2063"/>
      <c r="F802" s="2063"/>
      <c r="G802" s="2063"/>
      <c r="H802" s="2063"/>
      <c r="I802" s="2063"/>
      <c r="J802" s="2063"/>
      <c r="K802" s="2063"/>
      <c r="L802" s="2063"/>
      <c r="M802" s="2063"/>
      <c r="N802" s="2063"/>
      <c r="O802" s="2063"/>
      <c r="P802" s="2063"/>
      <c r="Q802" s="2063"/>
      <c r="R802" s="2063"/>
      <c r="S802" s="2064"/>
      <c r="T802" s="2089">
        <f>IF(AK524&gt;5,5,AK524)</f>
        <v>0</v>
      </c>
      <c r="U802" s="2089"/>
      <c r="V802" s="2089"/>
      <c r="W802" s="2089"/>
      <c r="X802" s="2089"/>
      <c r="Y802" s="2089"/>
      <c r="Z802" s="2032">
        <v>5</v>
      </c>
      <c r="AA802" s="2032"/>
      <c r="AB802" s="2032"/>
      <c r="AC802" s="2032"/>
      <c r="AD802" s="2032"/>
      <c r="AE802" s="2032"/>
      <c r="AF802" s="2032">
        <f>IF(T802&gt;Z802,5,T802)</f>
        <v>0</v>
      </c>
      <c r="AG802" s="2032"/>
      <c r="AH802" s="2032"/>
      <c r="AI802" s="2032"/>
      <c r="AJ802" s="2032"/>
      <c r="AK802" s="20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1487</v>
      </c>
      <c r="B803" s="2063" t="s">
        <v>1691</v>
      </c>
      <c r="C803" s="2063"/>
      <c r="D803" s="2063"/>
      <c r="E803" s="2063"/>
      <c r="F803" s="2063"/>
      <c r="G803" s="2063"/>
      <c r="H803" s="2063"/>
      <c r="I803" s="2063"/>
      <c r="J803" s="2063"/>
      <c r="K803" s="2063"/>
      <c r="L803" s="2063"/>
      <c r="M803" s="2063"/>
      <c r="N803" s="2063"/>
      <c r="O803" s="2063"/>
      <c r="P803" s="2063"/>
      <c r="Q803" s="2063"/>
      <c r="R803" s="2063"/>
      <c r="S803" s="2064"/>
      <c r="T803" s="2089">
        <f>AK274</f>
        <v>10</v>
      </c>
      <c r="U803" s="2089"/>
      <c r="V803" s="2089"/>
      <c r="W803" s="2089"/>
      <c r="X803" s="2089"/>
      <c r="Y803" s="2089"/>
      <c r="Z803" s="2032">
        <v>10</v>
      </c>
      <c r="AA803" s="2032"/>
      <c r="AB803" s="2032"/>
      <c r="AC803" s="2032"/>
      <c r="AD803" s="2032"/>
      <c r="AE803" s="2032"/>
      <c r="AF803" s="2095">
        <f>IF(T803&gt;Z803,Z803,T803)</f>
        <v>10</v>
      </c>
      <c r="AG803" s="2096"/>
      <c r="AH803" s="2096"/>
      <c r="AI803" s="2096"/>
      <c r="AJ803" s="2096"/>
      <c r="AK803" s="2097"/>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1491</v>
      </c>
      <c r="B804" s="2063" t="s">
        <v>1492</v>
      </c>
      <c r="C804" s="2063"/>
      <c r="D804" s="2063"/>
      <c r="E804" s="2063"/>
      <c r="F804" s="2063"/>
      <c r="G804" s="2063"/>
      <c r="H804" s="2063"/>
      <c r="I804" s="2063"/>
      <c r="J804" s="2063"/>
      <c r="K804" s="2063"/>
      <c r="L804" s="2063"/>
      <c r="M804" s="2063"/>
      <c r="N804" s="2063"/>
      <c r="O804" s="2063"/>
      <c r="P804" s="2063"/>
      <c r="Q804" s="2063"/>
      <c r="R804" s="2063"/>
      <c r="S804" s="2064"/>
      <c r="T804" s="2089">
        <f>AK327</f>
        <v>9</v>
      </c>
      <c r="U804" s="2089"/>
      <c r="V804" s="2089"/>
      <c r="W804" s="2089"/>
      <c r="X804" s="2089"/>
      <c r="Y804" s="2089"/>
      <c r="Z804" s="2095">
        <v>10</v>
      </c>
      <c r="AA804" s="2096"/>
      <c r="AB804" s="2096"/>
      <c r="AC804" s="2096"/>
      <c r="AD804" s="2096"/>
      <c r="AE804" s="2097"/>
      <c r="AF804" s="2095">
        <f>IF(T804&gt;Z804,Z804,T804)</f>
        <v>9</v>
      </c>
      <c r="AG804" s="2096"/>
      <c r="AH804" s="2096"/>
      <c r="AI804" s="2096"/>
      <c r="AJ804" s="2096"/>
      <c r="AK804" s="2097"/>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5">
        <f>AK327</f>
        <v>9</v>
      </c>
      <c r="U805" s="1965"/>
      <c r="V805" s="1965"/>
      <c r="W805" s="1965"/>
      <c r="X805" s="1965"/>
      <c r="Y805" s="1965"/>
      <c r="Z805" s="1970">
        <v>20</v>
      </c>
      <c r="AA805" s="1971"/>
      <c r="AB805" s="1971"/>
      <c r="AC805" s="1971"/>
      <c r="AD805" s="1971"/>
      <c r="AE805" s="1972"/>
      <c r="AF805" s="2092"/>
      <c r="AG805" s="2092"/>
      <c r="AH805" s="2092"/>
      <c r="AI805" s="2092"/>
      <c r="AJ805" s="2092"/>
      <c r="AK805" s="209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1564</v>
      </c>
      <c r="B806" s="2063" t="s">
        <v>857</v>
      </c>
      <c r="C806" s="2063"/>
      <c r="D806" s="2063"/>
      <c r="E806" s="2063"/>
      <c r="F806" s="2063"/>
      <c r="G806" s="2063"/>
      <c r="H806" s="2063"/>
      <c r="I806" s="2063"/>
      <c r="J806" s="2063"/>
      <c r="K806" s="2063"/>
      <c r="L806" s="2063"/>
      <c r="M806" s="2063"/>
      <c r="N806" s="2063"/>
      <c r="O806" s="2063"/>
      <c r="P806" s="2063"/>
      <c r="Q806" s="2063"/>
      <c r="R806" s="2063"/>
      <c r="S806" s="2064"/>
      <c r="T806" s="2089">
        <f>AK458</f>
        <v>12</v>
      </c>
      <c r="U806" s="2089"/>
      <c r="V806" s="2089"/>
      <c r="W806" s="2089"/>
      <c r="X806" s="2089"/>
      <c r="Y806" s="2089"/>
      <c r="Z806" s="2095">
        <v>10</v>
      </c>
      <c r="AA806" s="2096"/>
      <c r="AB806" s="2096"/>
      <c r="AC806" s="2096"/>
      <c r="AD806" s="2096"/>
      <c r="AE806" s="2097"/>
      <c r="AF806" s="2032">
        <f>IF(T806&gt;Z806,Z806,T806)</f>
        <v>10</v>
      </c>
      <c r="AG806" s="2032"/>
      <c r="AH806" s="2032"/>
      <c r="AI806" s="2032"/>
      <c r="AJ806" s="2032"/>
      <c r="AK806" s="20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1670</v>
      </c>
      <c r="B807" s="2063" t="s">
        <v>1671</v>
      </c>
      <c r="C807" s="2063"/>
      <c r="D807" s="2063"/>
      <c r="E807" s="2063"/>
      <c r="F807" s="2063"/>
      <c r="G807" s="2063"/>
      <c r="H807" s="2063"/>
      <c r="I807" s="2063"/>
      <c r="J807" s="2063"/>
      <c r="K807" s="2063"/>
      <c r="L807" s="2063"/>
      <c r="M807" s="2063"/>
      <c r="N807" s="2063"/>
      <c r="O807" s="2063"/>
      <c r="P807" s="2063"/>
      <c r="Q807" s="2063"/>
      <c r="R807" s="2063"/>
      <c r="S807" s="2064"/>
      <c r="T807" s="2089">
        <f>AK548</f>
        <v>12</v>
      </c>
      <c r="U807" s="2089"/>
      <c r="V807" s="2089"/>
      <c r="W807" s="2089"/>
      <c r="X807" s="2089"/>
      <c r="Y807" s="2089"/>
      <c r="Z807" s="2095">
        <v>12</v>
      </c>
      <c r="AA807" s="2096"/>
      <c r="AB807" s="2096"/>
      <c r="AC807" s="2096"/>
      <c r="AD807" s="2096"/>
      <c r="AE807" s="2097"/>
      <c r="AF807" s="2032">
        <f>IF(T807&gt;Z807,Z807,T807)</f>
        <v>12</v>
      </c>
      <c r="AG807" s="2032"/>
      <c r="AH807" s="2032"/>
      <c r="AI807" s="2032"/>
      <c r="AJ807" s="2032"/>
      <c r="AK807" s="20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2335</v>
      </c>
      <c r="B808" s="2063" t="s">
        <v>1693</v>
      </c>
      <c r="C808" s="2063"/>
      <c r="D808" s="2063"/>
      <c r="E808" s="2063"/>
      <c r="F808" s="2063"/>
      <c r="G808" s="2063"/>
      <c r="H808" s="2063"/>
      <c r="I808" s="2063"/>
      <c r="J808" s="2063"/>
      <c r="K808" s="2063"/>
      <c r="L808" s="2063"/>
      <c r="M808" s="2063"/>
      <c r="N808" s="2063"/>
      <c r="O808" s="2063"/>
      <c r="P808" s="2063"/>
      <c r="Q808" s="2063"/>
      <c r="R808" s="2063"/>
      <c r="S808" s="2064"/>
      <c r="T808" s="2089">
        <f>AK783</f>
        <v>10</v>
      </c>
      <c r="U808" s="2089"/>
      <c r="V808" s="2089"/>
      <c r="W808" s="2089"/>
      <c r="X808" s="2089"/>
      <c r="Y808" s="2089"/>
      <c r="Z808" s="2095">
        <v>10</v>
      </c>
      <c r="AA808" s="2096"/>
      <c r="AB808" s="2096"/>
      <c r="AC808" s="2096"/>
      <c r="AD808" s="2096"/>
      <c r="AE808" s="2097"/>
      <c r="AF808" s="2032">
        <f>IF(T808&gt;Z808,Z808,T808)</f>
        <v>10</v>
      </c>
      <c r="AG808" s="2032"/>
      <c r="AH808" s="2032"/>
      <c r="AI808" s="2032"/>
      <c r="AJ808" s="2032"/>
      <c r="AK808" s="20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093" t="s">
        <v>1694</v>
      </c>
      <c r="B809" s="2063"/>
      <c r="C809" s="2063"/>
      <c r="D809" s="2063"/>
      <c r="E809" s="2063"/>
      <c r="F809" s="2063"/>
      <c r="G809" s="2063"/>
      <c r="H809" s="2063"/>
      <c r="I809" s="2063"/>
      <c r="J809" s="2063"/>
      <c r="K809" s="2063"/>
      <c r="L809" s="2063"/>
      <c r="M809" s="2063"/>
      <c r="N809" s="2063"/>
      <c r="O809" s="2063"/>
      <c r="P809" s="2063"/>
      <c r="Q809" s="2063"/>
      <c r="R809" s="2063"/>
      <c r="S809" s="2064"/>
      <c r="T809" s="2094"/>
      <c r="U809" s="2094"/>
      <c r="V809" s="2094"/>
      <c r="W809" s="2094"/>
      <c r="X809" s="2094"/>
      <c r="Y809" s="2094"/>
      <c r="Z809" s="1966" t="s">
        <v>1695</v>
      </c>
      <c r="AA809" s="1966"/>
      <c r="AB809" s="1966"/>
      <c r="AC809" s="1966"/>
      <c r="AD809" s="1966"/>
      <c r="AE809" s="1966"/>
      <c r="AF809" s="2095">
        <f>IF(T809&gt;0,T809,0)</f>
        <v>0</v>
      </c>
      <c r="AG809" s="2096"/>
      <c r="AH809" s="2096"/>
      <c r="AI809" s="2096"/>
      <c r="AJ809" s="2096"/>
      <c r="AK809" s="2097"/>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098" t="s">
        <v>1696</v>
      </c>
      <c r="B810" s="2099"/>
      <c r="C810" s="2099"/>
      <c r="D810" s="2099"/>
      <c r="E810" s="2099"/>
      <c r="F810" s="2099"/>
      <c r="G810" s="2099"/>
      <c r="H810" s="2099"/>
      <c r="I810" s="2099"/>
      <c r="J810" s="2099"/>
      <c r="K810" s="2099"/>
      <c r="L810" s="2099"/>
      <c r="M810" s="2099"/>
      <c r="N810" s="2099"/>
      <c r="O810" s="2099"/>
      <c r="P810" s="2099"/>
      <c r="Q810" s="2099"/>
      <c r="R810" s="2099"/>
      <c r="S810" s="2099"/>
      <c r="T810" s="2099"/>
      <c r="U810" s="2099"/>
      <c r="V810" s="2099"/>
      <c r="W810" s="2099"/>
      <c r="X810" s="2099"/>
      <c r="Y810" s="2099"/>
      <c r="Z810" s="2099"/>
      <c r="AA810" s="2099"/>
      <c r="AB810" s="2099"/>
      <c r="AC810" s="2099"/>
      <c r="AD810" s="2099"/>
      <c r="AE810" s="2100"/>
      <c r="AF810" s="2104">
        <f ca="1">SUM(AF793:AK808)-AF809</f>
        <v>119</v>
      </c>
      <c r="AG810" s="2105"/>
      <c r="AH810" s="2105"/>
      <c r="AI810" s="2105"/>
      <c r="AJ810" s="2105"/>
      <c r="AK810" s="210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101"/>
      <c r="B811" s="2102"/>
      <c r="C811" s="2102"/>
      <c r="D811" s="2102"/>
      <c r="E811" s="2102"/>
      <c r="F811" s="2102"/>
      <c r="G811" s="2102"/>
      <c r="H811" s="2102"/>
      <c r="I811" s="2102"/>
      <c r="J811" s="2102"/>
      <c r="K811" s="2102"/>
      <c r="L811" s="2102"/>
      <c r="M811" s="2102"/>
      <c r="N811" s="2102"/>
      <c r="O811" s="2102"/>
      <c r="P811" s="2102"/>
      <c r="Q811" s="2102"/>
      <c r="R811" s="2102"/>
      <c r="S811" s="2102"/>
      <c r="T811" s="2102"/>
      <c r="U811" s="2102"/>
      <c r="V811" s="2102"/>
      <c r="W811" s="2102"/>
      <c r="X811" s="2102"/>
      <c r="Y811" s="2102"/>
      <c r="Z811" s="2102"/>
      <c r="AA811" s="2102"/>
      <c r="AB811" s="2102"/>
      <c r="AC811" s="2102"/>
      <c r="AD811" s="2102"/>
      <c r="AE811" s="2103"/>
      <c r="AF811" s="2107"/>
      <c r="AG811" s="2108"/>
      <c r="AH811" s="2108"/>
      <c r="AI811" s="2108"/>
      <c r="AJ811" s="2108"/>
      <c r="AK811" s="210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1" workbookViewId="0">
      <selection activeCell="I14" sqref="I14"/>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54" t="s">
        <v>1697</v>
      </c>
      <c r="B1" s="2154"/>
      <c r="C1" s="2154"/>
      <c r="D1" s="2154"/>
      <c r="E1" s="2154"/>
      <c r="F1" s="2154"/>
      <c r="G1" s="2154"/>
      <c r="H1" s="2154"/>
      <c r="I1" s="2154"/>
      <c r="J1" s="2154"/>
    </row>
    <row r="2" spans="1:13" ht="15" customHeight="1" thickBot="1">
      <c r="A2" s="1081"/>
      <c r="B2" s="1081"/>
      <c r="I2" s="1082"/>
      <c r="K2" s="1083"/>
    </row>
    <row r="3" spans="1:13" s="1086" customFormat="1" ht="20.149999999999999" customHeight="1">
      <c r="A3" s="1140"/>
      <c r="B3" s="1141"/>
      <c r="C3" s="1142"/>
      <c r="D3" s="1147"/>
      <c r="E3" s="1142"/>
      <c r="F3" s="1143" t="s">
        <v>2300</v>
      </c>
      <c r="G3" s="1142"/>
      <c r="H3" s="1144">
        <f>E16</f>
        <v>43353396</v>
      </c>
      <c r="I3" s="1145"/>
    </row>
    <row r="4" spans="1:13" s="1086" customFormat="1" ht="20.149999999999999" customHeight="1">
      <c r="B4" s="1134"/>
      <c r="D4" s="1148"/>
      <c r="F4" s="1132" t="s">
        <v>2302</v>
      </c>
      <c r="G4" s="1131" t="s">
        <v>2301</v>
      </c>
      <c r="H4" s="1133">
        <f>I16</f>
        <v>43729632.796895422</v>
      </c>
      <c r="I4" s="1135"/>
      <c r="K4" s="1090"/>
    </row>
    <row r="5" spans="1:13" s="1086" customFormat="1" ht="20.149999999999999" customHeight="1" thickBot="1">
      <c r="B5" s="1136"/>
      <c r="C5" s="1137"/>
      <c r="D5" s="1149"/>
      <c r="E5" s="1138"/>
      <c r="F5" s="1149" t="s">
        <v>2242</v>
      </c>
      <c r="G5" s="1150"/>
      <c r="H5" s="1146">
        <f>H3/H4</f>
        <v>0.99139629645090155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6" t="s">
        <v>2240</v>
      </c>
      <c r="C8" s="2157"/>
      <c r="D8" s="2157"/>
      <c r="E8" s="2158"/>
      <c r="G8" s="2159" t="s">
        <v>2241</v>
      </c>
      <c r="H8" s="2160"/>
      <c r="I8" s="2161"/>
      <c r="K8" s="1092"/>
    </row>
    <row r="9" spans="1:13" ht="15" customHeight="1">
      <c r="A9" s="1081"/>
      <c r="B9" s="2155" t="s">
        <v>2279</v>
      </c>
      <c r="C9" s="2155"/>
      <c r="D9" s="2155"/>
      <c r="E9" s="1094">
        <f>G31</f>
        <v>7965000.0000000009</v>
      </c>
      <c r="G9" s="2164" t="s">
        <v>2277</v>
      </c>
      <c r="H9" s="2164"/>
      <c r="I9" s="1095">
        <f>Application!AM554</f>
        <v>46070813</v>
      </c>
      <c r="K9" s="1096"/>
      <c r="M9" s="1097"/>
    </row>
    <row r="10" spans="1:13" ht="15" customHeight="1" thickBot="1">
      <c r="A10" s="1081"/>
      <c r="B10" s="2155" t="s">
        <v>2280</v>
      </c>
      <c r="C10" s="2155"/>
      <c r="D10" s="2155"/>
      <c r="E10" s="1095">
        <f>G40</f>
        <v>23496696</v>
      </c>
      <c r="G10" s="2164" t="s">
        <v>2243</v>
      </c>
      <c r="H10" s="2164"/>
      <c r="I10" s="1182">
        <f>'Basis &amp; Credits'!AB78</f>
        <v>0</v>
      </c>
      <c r="M10" s="1097"/>
    </row>
    <row r="11" spans="1:13" ht="15" customHeight="1">
      <c r="A11" s="1098"/>
      <c r="B11" s="2155" t="s">
        <v>2281</v>
      </c>
      <c r="C11" s="2155"/>
      <c r="D11" s="2155"/>
      <c r="E11" s="1095">
        <f>G49</f>
        <v>0</v>
      </c>
      <c r="G11" s="2164" t="s">
        <v>2292</v>
      </c>
      <c r="H11" s="2164"/>
      <c r="I11" s="1181">
        <f>I9+I10</f>
        <v>46070813</v>
      </c>
      <c r="M11" s="1097"/>
    </row>
    <row r="12" spans="1:13" ht="15" customHeight="1">
      <c r="A12" s="1084"/>
      <c r="B12" s="2155" t="s">
        <v>2282</v>
      </c>
      <c r="C12" s="2155"/>
      <c r="D12" s="2155"/>
      <c r="E12" s="1095">
        <f>G58</f>
        <v>900000</v>
      </c>
      <c r="G12" s="1183" t="s">
        <v>2317</v>
      </c>
      <c r="H12" s="1184"/>
      <c r="M12" s="1097"/>
    </row>
    <row r="13" spans="1:13" ht="15" customHeight="1">
      <c r="A13" s="1081"/>
      <c r="B13" s="2155" t="s">
        <v>2283</v>
      </c>
      <c r="C13" s="2155"/>
      <c r="D13" s="2155"/>
      <c r="E13" s="1100">
        <f>G83</f>
        <v>10991700</v>
      </c>
      <c r="G13" s="2165" t="s">
        <v>139</v>
      </c>
      <c r="H13" s="2165"/>
      <c r="I13" s="1099">
        <f>15%*(Application!AJ993&gt;0)</f>
        <v>0</v>
      </c>
      <c r="M13" s="1097"/>
    </row>
    <row r="14" spans="1:13" ht="15" customHeight="1">
      <c r="A14" s="1081"/>
      <c r="B14" s="2155" t="s">
        <v>2284</v>
      </c>
      <c r="C14" s="2155"/>
      <c r="D14" s="2155"/>
      <c r="E14" s="1095">
        <f>IF(G96&gt;G106,G96,0)</f>
        <v>0</v>
      </c>
      <c r="G14" s="1179" t="s">
        <v>2293</v>
      </c>
      <c r="H14" s="1179"/>
      <c r="I14" s="1099">
        <f>IF(Application!AJ1031&gt;0,10%,IF(Application!AJ1035&gt;0,5%,0))</f>
        <v>0.05</v>
      </c>
      <c r="M14" s="1097"/>
    </row>
    <row r="15" spans="1:13" ht="15" customHeight="1" thickBot="1">
      <c r="A15" s="1081"/>
      <c r="B15" s="2162" t="s">
        <v>2303</v>
      </c>
      <c r="C15" s="2162"/>
      <c r="D15" s="2162"/>
      <c r="E15" s="1151">
        <f>IF(E14&gt;0,0,G106)</f>
        <v>0</v>
      </c>
      <c r="G15" s="2168" t="s">
        <v>2294</v>
      </c>
      <c r="H15" s="2169"/>
      <c r="I15" s="1153">
        <f>G114</f>
        <v>8.1699346405228761E-4</v>
      </c>
      <c r="M15" s="1097"/>
    </row>
    <row r="16" spans="1:13" ht="15" customHeight="1">
      <c r="A16" s="1081"/>
      <c r="B16" s="2163" t="s">
        <v>2239</v>
      </c>
      <c r="C16" s="2163"/>
      <c r="D16" s="2163"/>
      <c r="E16" s="1152">
        <f>SUM(E9:E15)</f>
        <v>43353396</v>
      </c>
      <c r="G16" s="1180" t="s">
        <v>2278</v>
      </c>
      <c r="H16" s="1180"/>
      <c r="I16" s="1154">
        <f>I11-((I11*I13)+(I11*I14)+(I11*I15))</f>
        <v>43729632.796895422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177</v>
      </c>
      <c r="O18" s="1124" t="s">
        <v>591</v>
      </c>
      <c r="P18" s="1079">
        <f>MATCH(Application!T189,Application!BV490:BV547,0)</f>
        <v>37</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66" t="s">
        <v>2296</v>
      </c>
      <c r="D20" s="2166" t="s">
        <v>2297</v>
      </c>
      <c r="E20" s="2166" t="s">
        <v>2298</v>
      </c>
      <c r="F20" s="2166" t="s">
        <v>2299</v>
      </c>
      <c r="G20" s="2166" t="s">
        <v>2295</v>
      </c>
      <c r="H20" s="1108"/>
      <c r="I20" s="1107"/>
      <c r="L20" s="1079">
        <f>IFERROR(MIN(4,MATCH(Application!B718,UnitSizes,0)-1),"")</f>
        <v>0</v>
      </c>
      <c r="M20" s="1101">
        <f>Application!G718</f>
        <v>45</v>
      </c>
      <c r="N20" s="1109">
        <f>Application!AC718</f>
        <v>0.3</v>
      </c>
      <c r="O20" s="1109">
        <f>IF(Cdlac[[#This Row],[Quantity]]&gt;0,IF(Cdlac[[#This Row],[Federal]],30%,IF($G$36,40%,Cdlac[[#This Row],[iAMI]])),"")</f>
        <v>0.3</v>
      </c>
      <c r="P20" s="1101" cm="1">
        <f t="array" ref="P20">IF(Cdlac[[#This Row],[Quantity]]&gt;0,INDEX(TcacRents,$P$18,Cdlac[[#This Row],[Bedrooms]]+1)*Cdlac[[#This Row],[AMI]],"")</f>
        <v>795.6</v>
      </c>
      <c r="Q20" s="1101" cm="1">
        <f t="array" ref="Q20">IF(Cdlac[[#This Row],[Quantity]]&gt;0,INDEX(HudFmrs,$P$18,Cdlac[[#This Row],[Bedrooms]]+1),"")</f>
        <v>2062</v>
      </c>
      <c r="R20" s="1101">
        <f>IF(Cdlac[[#This Row],[Quantity]]&gt;0,MAX(0,Cdlac[[#This Row],[Fair Market Rent]]-Cdlac[[#This Row],[Restricted Rent]]),"")</f>
        <v>1266.4000000000001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7"/>
      <c r="D21" s="2167"/>
      <c r="E21" s="2167"/>
      <c r="F21" s="2167"/>
      <c r="G21" s="2167"/>
      <c r="H21" s="1108"/>
      <c r="I21" s="1107"/>
      <c r="L21" s="1079">
        <f>IFERROR(MIN(4,MATCH(Application!B719,UnitSizes,0)-1),"")</f>
        <v>0</v>
      </c>
      <c r="M21" s="1101">
        <f>Application!G719</f>
        <v>43</v>
      </c>
      <c r="N21" s="1109">
        <f>Application!AC719</f>
        <v>0.5</v>
      </c>
      <c r="O21" s="1109">
        <f>IF(Cdlac[[#This Row],[Quantity]]&gt;0,IF(Cdlac[[#This Row],[Federal]],30%,IF($G$36,40%,Cdlac[[#This Row],[iAMI]])),"")</f>
        <v>0.5</v>
      </c>
      <c r="P21" s="1101" cm="1">
        <f t="array" ref="P21">IF(Cdlac[[#This Row],[Quantity]]&gt;0,INDEX(TcacRents,$P$18,Cdlac[[#This Row],[Bedrooms]]+1)*Cdlac[[#This Row],[AMI]],"")</f>
        <v>1326</v>
      </c>
      <c r="Q21" s="1101" cm="1">
        <f t="array" ref="Q21">IF(Cdlac[[#This Row],[Quantity]]&gt;0,INDEX(HudFmrs,$P$18,Cdlac[[#This Row],[Bedrooms]]+1),"")</f>
        <v>2062</v>
      </c>
      <c r="R21" s="1101">
        <f>IF(Cdlac[[#This Row],[Quantity]]&gt;0,MAX(0,Cdlac[[#This Row],[Fair Market Rent]]-Cdlac[[#This Row],[Restricted Rent]]),"")</f>
        <v>736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177</v>
      </c>
      <c r="F22" s="1110">
        <f>E22</f>
        <v>177</v>
      </c>
      <c r="G22" s="1110">
        <f>D22*F22</f>
        <v>159.30000000000001</v>
      </c>
      <c r="L22" s="1079">
        <f>IFERROR(MIN(4,MATCH(Application!B720,UnitSizes,0)-1),"")</f>
        <v>0</v>
      </c>
      <c r="M22" s="1101">
        <f>Application!G720</f>
        <v>89</v>
      </c>
      <c r="N22" s="1109">
        <f>Application!AC720</f>
        <v>0.6</v>
      </c>
      <c r="O22" s="1109">
        <f>IF(Cdlac[[#This Row],[Quantity]]&gt;0,IF(Cdlac[[#This Row],[Federal]],30%,IF($G$36,40%,Cdlac[[#This Row],[iAMI]])),"")</f>
        <v>0.6</v>
      </c>
      <c r="P22" s="1101" cm="1">
        <f t="array" ref="P22">IF(Cdlac[[#This Row],[Quantity]]&gt;0,INDEX(TcacRents,$P$18,Cdlac[[#This Row],[Bedrooms]]+1)*Cdlac[[#This Row],[AMI]],"")</f>
        <v>1591.2</v>
      </c>
      <c r="Q22" s="1101" cm="1">
        <f t="array" ref="Q22">IF(Cdlac[[#This Row],[Quantity]]&gt;0,INDEX(HudFmrs,$P$18,Cdlac[[#This Row],[Bedrooms]]+1),"")</f>
        <v>2062</v>
      </c>
      <c r="R22" s="1101">
        <f>IF(Cdlac[[#This Row],[Quantity]]&gt;0,MAX(0,Cdlac[[#This Row],[Fair Market Rent]]-Cdlac[[#This Row],[Restricted Rent]]),"")</f>
        <v>470.79999999999995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0" t="s">
        <v>1698</v>
      </c>
      <c r="D27" s="2151"/>
      <c r="E27" s="1129">
        <f>SUM(E22:E26)</f>
        <v>177</v>
      </c>
      <c r="F27" s="1129">
        <f>SUM(F22:F26)</f>
        <v>177</v>
      </c>
      <c r="G27" s="1130">
        <f>SUMPRODUCT(D22:D26,F22:F26)</f>
        <v>159.30000000000001</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2295</v>
      </c>
      <c r="G29" s="1156">
        <f>G27</f>
        <v>159.30000000000001</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2288</v>
      </c>
      <c r="F31" s="1081"/>
      <c r="G31" s="1161">
        <f>G30*G29</f>
        <v>7965000.0000000009</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0.4994350282485876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130537.2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23496696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88</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45</v>
      </c>
    </row>
    <row r="54" spans="2:14" ht="15" customHeight="1">
      <c r="E54" s="1159" t="s">
        <v>2306</v>
      </c>
      <c r="G54" s="1117">
        <f>ROUNDDOWN(E27*50%,0)</f>
        <v>88</v>
      </c>
    </row>
    <row r="55" spans="2:14" ht="15" customHeight="1">
      <c r="E55" s="1159"/>
      <c r="G55" s="1117"/>
    </row>
    <row r="56" spans="2:14" ht="15" customHeight="1">
      <c r="E56" s="1159" t="s">
        <v>2257</v>
      </c>
      <c r="G56" s="1156">
        <f>MIN(G53:G54)</f>
        <v>45</v>
      </c>
    </row>
    <row r="57" spans="2:14" ht="15" customHeight="1">
      <c r="E57" s="1159" t="s">
        <v>2247</v>
      </c>
      <c r="F57" s="1155" t="s">
        <v>2304</v>
      </c>
      <c r="G57" s="1166">
        <v>20000</v>
      </c>
    </row>
    <row r="58" spans="2:14" ht="15" customHeight="1">
      <c r="E58" s="1160" t="s">
        <v>2286</v>
      </c>
      <c r="F58" s="1081"/>
      <c r="G58" s="1165">
        <f>G56*G57</f>
        <v>900000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N/A</v>
      </c>
      <c r="M62" s="2152" t="s">
        <v>1516</v>
      </c>
      <c r="N62" s="2153"/>
    </row>
    <row r="63" spans="2:14" ht="15" customHeight="1">
      <c r="E63" s="1124" t="s">
        <v>2247</v>
      </c>
      <c r="F63" s="1155" t="s">
        <v>2304</v>
      </c>
      <c r="G63" s="1114">
        <v>4000</v>
      </c>
      <c r="L63" s="1170" t="str">
        <f>'Points System'!H639</f>
        <v>(i)</v>
      </c>
      <c r="M63" s="2144" t="s">
        <v>2261</v>
      </c>
      <c r="N63" s="2145"/>
    </row>
    <row r="64" spans="2:14" ht="15" customHeight="1">
      <c r="E64" s="1124" t="s">
        <v>2308</v>
      </c>
      <c r="F64" s="1155" t="s">
        <v>2304</v>
      </c>
      <c r="G64" s="1168">
        <f>G27</f>
        <v>159.30000000000001</v>
      </c>
      <c r="L64" s="1170" t="str">
        <f>'Points System'!H674</f>
        <v>(i)</v>
      </c>
      <c r="M64" s="2144" t="s">
        <v>2262</v>
      </c>
      <c r="N64" s="2145"/>
    </row>
    <row r="65" spans="2:14" ht="15" customHeight="1">
      <c r="E65" s="1160" t="s">
        <v>2266</v>
      </c>
      <c r="F65" s="1081"/>
      <c r="G65" s="1165">
        <f>G62*G63*G64</f>
        <v>4460400</v>
      </c>
      <c r="L65" s="1170" t="str">
        <f>IF(OR('Points System'!H698="(ii)",'Points System'!H698="(i)"),"(i)","N/A")</f>
        <v>N/A</v>
      </c>
      <c r="M65" s="2144" t="s">
        <v>2263</v>
      </c>
      <c r="N65" s="2145"/>
    </row>
    <row r="66" spans="2:14" ht="15" customHeight="1">
      <c r="C66" s="1115"/>
      <c r="G66" s="1156"/>
      <c r="L66" s="1171" t="str">
        <f>'Points System'!H712</f>
        <v>N/A</v>
      </c>
      <c r="M66" s="2144" t="s">
        <v>1542</v>
      </c>
      <c r="N66" s="2145"/>
    </row>
    <row r="67" spans="2:14" ht="15" customHeight="1">
      <c r="E67" s="1124" t="s">
        <v>2309</v>
      </c>
      <c r="G67" s="1168">
        <f>COUNTIFS(L62:L69,"(i)")</f>
        <v>4</v>
      </c>
      <c r="L67" s="1170" t="str">
        <f>'Points System'!H724</f>
        <v>N/A</v>
      </c>
      <c r="M67" s="2144" t="s">
        <v>2264</v>
      </c>
      <c r="N67" s="2145"/>
    </row>
    <row r="68" spans="2:14" ht="15" customHeight="1">
      <c r="E68" s="1124" t="s">
        <v>2247</v>
      </c>
      <c r="F68" s="1155" t="s">
        <v>2304</v>
      </c>
      <c r="G68" s="1166">
        <v>4000</v>
      </c>
      <c r="L68" s="1170" t="str">
        <f>'Points System'!H740</f>
        <v>(i)</v>
      </c>
      <c r="M68" s="2144" t="s">
        <v>2265</v>
      </c>
      <c r="N68" s="2145"/>
    </row>
    <row r="69" spans="2:14" ht="15" customHeight="1" thickBot="1">
      <c r="E69" s="1160" t="s">
        <v>2267</v>
      </c>
      <c r="F69" s="1081"/>
      <c r="G69" s="1165">
        <f>G64*G67*G68</f>
        <v>2548800</v>
      </c>
      <c r="L69" s="1172" t="str">
        <f>'Points System'!H752</f>
        <v>(i)</v>
      </c>
      <c r="M69" s="2146" t="s">
        <v>1545</v>
      </c>
      <c r="N69" s="2147"/>
    </row>
    <row r="70" spans="2:14" ht="15" customHeight="1"/>
    <row r="71" spans="2:14" ht="15" customHeight="1">
      <c r="C71" s="1118" t="s">
        <v>2269</v>
      </c>
    </row>
    <row r="72" spans="2:14" ht="15" customHeight="1">
      <c r="C72" s="1115" t="s">
        <v>2270</v>
      </c>
      <c r="G72" s="1078"/>
    </row>
    <row r="73" spans="2:14" ht="15" customHeight="1">
      <c r="C73" s="1115" t="s">
        <v>2271</v>
      </c>
      <c r="G73" s="1078" t="s">
        <v>554</v>
      </c>
    </row>
    <row r="74" spans="2:14" ht="15" customHeight="1">
      <c r="C74" s="1115" t="s">
        <v>2499</v>
      </c>
      <c r="G74" s="1078"/>
    </row>
    <row r="75" spans="2:14" ht="15" customHeight="1">
      <c r="C75" s="1115" t="s">
        <v>2500</v>
      </c>
      <c r="G75" s="1078"/>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159.30000000000001</v>
      </c>
    </row>
    <row r="80" spans="2:14" ht="15" customHeight="1">
      <c r="E80" s="1124" t="s">
        <v>2247</v>
      </c>
      <c r="F80" s="1155" t="s">
        <v>2304</v>
      </c>
      <c r="G80" s="1166">
        <v>25000</v>
      </c>
    </row>
    <row r="81" spans="2:14" ht="15" customHeight="1">
      <c r="E81" s="1160" t="s">
        <v>2268</v>
      </c>
      <c r="F81" s="1081"/>
      <c r="G81" s="1165">
        <f>G77*G80*G64</f>
        <v>3982500.0000000005</v>
      </c>
    </row>
    <row r="82" spans="2:14" ht="15" customHeight="1">
      <c r="C82" s="1115"/>
      <c r="E82" s="1115"/>
    </row>
    <row r="83" spans="2:14" ht="15" customHeight="1">
      <c r="E83" s="1160" t="s">
        <v>2245</v>
      </c>
      <c r="G83" s="1165">
        <f>G81+G69+G65</f>
        <v>10991700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554</v>
      </c>
      <c r="L87" s="2148" t="s">
        <v>2274</v>
      </c>
      <c r="M87" s="2149"/>
      <c r="N87" s="1173">
        <v>30000</v>
      </c>
    </row>
    <row r="88" spans="2:14" ht="15" customHeight="1">
      <c r="C88" s="1115" t="s">
        <v>2291</v>
      </c>
      <c r="G88" s="1119" t="str">
        <f>IF(Application!D211="Large Family","Yes","No")</f>
        <v>No</v>
      </c>
      <c r="L88" s="2140" t="s">
        <v>2238</v>
      </c>
      <c r="M88" s="2141"/>
      <c r="N88" s="1174">
        <v>20000</v>
      </c>
    </row>
    <row r="89" spans="2:14" ht="15" customHeight="1" thickBot="1">
      <c r="C89" s="1115" t="s">
        <v>2272</v>
      </c>
      <c r="G89" s="1078"/>
      <c r="L89" s="2142" t="s">
        <v>2275</v>
      </c>
      <c r="M89" s="2143"/>
      <c r="N89" s="1175">
        <v>10000</v>
      </c>
    </row>
    <row r="90" spans="2:14" ht="15" customHeight="1">
      <c r="C90" s="1115" t="s">
        <v>2273</v>
      </c>
      <c r="G90" s="1079" t="str">
        <f>Application!T193</f>
        <v>Low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159.30000000000001</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159.30000000000001</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2313</v>
      </c>
      <c r="C108" s="1105"/>
      <c r="D108" s="1105"/>
      <c r="E108" s="1105"/>
      <c r="F108" s="1105"/>
      <c r="G108" s="1105"/>
      <c r="H108" s="1105"/>
      <c r="I108" s="1106"/>
    </row>
    <row r="109" spans="2:9" ht="15" customHeight="1"/>
    <row r="110" spans="2:9" ht="15" customHeight="1">
      <c r="E110" s="1124" t="s">
        <v>591</v>
      </c>
      <c r="G110" s="1079" t="str">
        <f>IF(Application!T189="","",Application!T189)</f>
        <v>San Diego</v>
      </c>
    </row>
    <row r="111" spans="2:9" ht="15" customHeight="1">
      <c r="E111" s="1124"/>
      <c r="G111" s="1116"/>
    </row>
    <row r="112" spans="2:9" ht="15" customHeight="1">
      <c r="E112" s="1124" t="str">
        <f>"2-Bedroom "&amp;G110&amp;" County Basis Limit"</f>
        <v>2-Bedroom San Diego County Basis Limit</v>
      </c>
      <c r="G112" s="1116">
        <f>Application!R987</f>
        <v>491200</v>
      </c>
    </row>
    <row r="113" spans="4:9" ht="15" customHeight="1">
      <c r="E113" s="1124" t="s">
        <v>2312</v>
      </c>
      <c r="G113" s="1116">
        <f>MEDIAN((Application!BR806:BR863))</f>
        <v>489600</v>
      </c>
    </row>
    <row r="114" spans="4:9" ht="15" customHeight="1">
      <c r="D114" s="1081"/>
      <c r="E114" s="1160" t="s">
        <v>2314</v>
      </c>
      <c r="F114" s="1176"/>
      <c r="G114" s="1177">
        <f>((G112-G113)/G113)*0.25</f>
        <v>8.1699346405228761E-4</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Marc Welk</cp:lastModifiedBy>
  <cp:lastPrinted>2024-08-19T18:56:20Z</cp:lastPrinted>
  <dcterms:created xsi:type="dcterms:W3CDTF">2007-12-27T18:26:28Z</dcterms:created>
  <dcterms:modified xsi:type="dcterms:W3CDTF">2024-08-23T14:46:23Z</dcterms:modified>
</cp:coreProperties>
</file>