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Richmond (4%) (08-27)\TAB 40 - CTCAC E-App\"/>
    </mc:Choice>
  </mc:AlternateContent>
  <xr:revisionPtr revIDLastSave="0" documentId="13_ncr:1_{E685E032-CF9A-44C2-8034-C28A84B4970D}" xr6:coauthVersionLast="47" xr6:coauthVersionMax="47" xr10:uidLastSave="{00000000-0000-0000-0000-000000000000}"/>
  <bookViews>
    <workbookView xWindow="-1999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9" i="4"/>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D90" i="11" s="1"/>
  <c r="C91" i="11"/>
  <c r="C92" i="11"/>
  <c r="C93" i="11"/>
  <c r="D93" i="11" s="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B59" i="4"/>
  <c r="C80" i="11"/>
  <c r="D80" i="11" s="1"/>
  <c r="C81" i="11"/>
  <c r="B80" i="11"/>
  <c r="B82" i="11" s="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R90" i="4"/>
  <c r="R89" i="4"/>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R50" i="4"/>
  <c r="S50" i="4" s="1"/>
  <c r="E50" i="13" s="1"/>
  <c r="R49" i="4"/>
  <c r="S49" i="4" s="1"/>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B7" i="11"/>
  <c r="C7" i="11"/>
  <c r="C8" i="11"/>
  <c r="D8" i="11" s="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D46" i="11" s="1"/>
  <c r="B47" i="11"/>
  <c r="C47" i="11"/>
  <c r="D47" i="11" s="1"/>
  <c r="B48" i="11"/>
  <c r="B49" i="11"/>
  <c r="B50" i="11"/>
  <c r="B51" i="11"/>
  <c r="B52" i="11"/>
  <c r="B53" i="11"/>
  <c r="C48" i="11"/>
  <c r="C49" i="11"/>
  <c r="C50" i="11"/>
  <c r="D50" i="11" s="1"/>
  <c r="C51" i="11"/>
  <c r="C52" i="11"/>
  <c r="D52" i="11" s="1"/>
  <c r="C53" i="11"/>
  <c r="B57" i="11"/>
  <c r="C57" i="11"/>
  <c r="B58" i="11"/>
  <c r="C58" i="11"/>
  <c r="D58" i="11" s="1"/>
  <c r="B59" i="11"/>
  <c r="C59" i="11"/>
  <c r="D59" i="11" s="1"/>
  <c r="B60" i="11"/>
  <c r="C60" i="11"/>
  <c r="B61" i="11"/>
  <c r="C61" i="11"/>
  <c r="B62" i="11"/>
  <c r="C62" i="11"/>
  <c r="B66" i="11"/>
  <c r="B71" i="11" s="1"/>
  <c r="C66" i="11"/>
  <c r="B73" i="11"/>
  <c r="C73" i="11"/>
  <c r="B74" i="11"/>
  <c r="C74" i="11"/>
  <c r="B75" i="11"/>
  <c r="C75" i="11"/>
  <c r="B76" i="11"/>
  <c r="C76" i="11"/>
  <c r="B77" i="11"/>
  <c r="B78" i="11" s="1"/>
  <c r="C77" i="11"/>
  <c r="C78" i="11" s="1"/>
  <c r="B84" i="11"/>
  <c r="C84" i="11"/>
  <c r="D84" i="11" s="1"/>
  <c r="B100" i="11"/>
  <c r="B105" i="11" s="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S96" i="4"/>
  <c r="E96" i="13" s="1"/>
  <c r="F2" i="4"/>
  <c r="G2" i="4"/>
  <c r="H2" i="4"/>
  <c r="I2" i="4"/>
  <c r="J2" i="4"/>
  <c r="K2" i="4"/>
  <c r="L2" i="4"/>
  <c r="M2" i="4"/>
  <c r="N2" i="4"/>
  <c r="O2" i="4"/>
  <c r="P2" i="4"/>
  <c r="Q2" i="4"/>
  <c r="B4" i="4"/>
  <c r="B5" i="4"/>
  <c r="B6" i="4"/>
  <c r="B7" i="4"/>
  <c r="E8" i="4"/>
  <c r="F8" i="4"/>
  <c r="G8" i="4"/>
  <c r="G11" i="4"/>
  <c r="H8" i="4"/>
  <c r="H11" i="4"/>
  <c r="I8" i="4"/>
  <c r="I11" i="4"/>
  <c r="J8" i="4"/>
  <c r="J11" i="4"/>
  <c r="J26" i="4"/>
  <c r="J38" i="4"/>
  <c r="J63" i="4" s="1"/>
  <c r="J42" i="4"/>
  <c r="J54" i="4"/>
  <c r="J62" i="4"/>
  <c r="J70" i="4"/>
  <c r="J77" i="4"/>
  <c r="J96" i="4"/>
  <c r="J104" i="4"/>
  <c r="K8" i="4"/>
  <c r="K63" i="4" s="1"/>
  <c r="K97" i="4" s="1"/>
  <c r="K11" i="4"/>
  <c r="L8" i="4"/>
  <c r="L12" i="4" s="1"/>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D48" i="11"/>
  <c r="I12" i="4"/>
  <c r="G12" i="4"/>
  <c r="D6" i="11"/>
  <c r="Q12" i="4"/>
  <c r="O63" i="4"/>
  <c r="O97" i="4"/>
  <c r="O105" i="4"/>
  <c r="D18" i="11"/>
  <c r="D10" i="11"/>
  <c r="D36" i="11"/>
  <c r="G63" i="13"/>
  <c r="G97" i="13"/>
  <c r="G105" i="13"/>
  <c r="G107" i="13"/>
  <c r="D61" i="11"/>
  <c r="D57" i="11"/>
  <c r="D20" i="11"/>
  <c r="D102" i="11"/>
  <c r="D94" i="11"/>
  <c r="K12" i="4"/>
  <c r="C12" i="13"/>
  <c r="D63" i="4"/>
  <c r="D97" i="4" s="1"/>
  <c r="D105" i="4" s="1"/>
  <c r="J12" i="4"/>
  <c r="D22" i="11"/>
  <c r="O12" i="4"/>
  <c r="D95" i="11"/>
  <c r="D25" i="11"/>
  <c r="D12" i="4"/>
  <c r="H12" i="4"/>
  <c r="C82" i="11"/>
  <c r="D23" i="11"/>
  <c r="D19" i="11"/>
  <c r="D73" i="11"/>
  <c r="D44" i="11"/>
  <c r="D35" i="11"/>
  <c r="D76" i="11"/>
  <c r="D15" i="11"/>
  <c r="D63" i="13"/>
  <c r="D97" i="13"/>
  <c r="D105" i="13"/>
  <c r="Q63" i="4"/>
  <c r="Q97" i="4"/>
  <c r="Q105" i="4"/>
  <c r="N63" i="4"/>
  <c r="N97" i="4"/>
  <c r="N105" i="4"/>
  <c r="N12" i="4"/>
  <c r="F12" i="4"/>
  <c r="D60" i="11"/>
  <c r="M12" i="4"/>
  <c r="D74" i="11"/>
  <c r="D38" i="11"/>
  <c r="P63" i="4"/>
  <c r="P97" i="4"/>
  <c r="P105" i="4"/>
  <c r="B63" i="11"/>
  <c r="D12" i="13"/>
  <c r="D62" i="11"/>
  <c r="D24" i="11"/>
  <c r="D101" i="11"/>
  <c r="C63" i="13"/>
  <c r="C97" i="13"/>
  <c r="C105" i="13"/>
  <c r="D92" i="11"/>
  <c r="D75" i="11"/>
  <c r="D28" i="11"/>
  <c r="D103" i="11"/>
  <c r="D88" i="11"/>
  <c r="D42" i="11"/>
  <c r="D21" i="11"/>
  <c r="D16" i="11"/>
  <c r="R26" i="4"/>
  <c r="D81" i="11"/>
  <c r="F63" i="13"/>
  <c r="F97" i="13"/>
  <c r="F105" i="13"/>
  <c r="F107" i="13"/>
  <c r="AD199" i="20"/>
  <c r="M63" i="4"/>
  <c r="M97" i="4"/>
  <c r="M105" i="4"/>
  <c r="D91" i="11"/>
  <c r="D104" i="11"/>
  <c r="T63" i="4"/>
  <c r="T97" i="4"/>
  <c r="H63" i="13"/>
  <c r="T105" i="4"/>
  <c r="H97" i="13"/>
  <c r="D96" i="11"/>
  <c r="T107" i="4"/>
  <c r="H105" i="13"/>
  <c r="H107" i="13"/>
  <c r="AD11" i="15"/>
  <c r="D87" i="11" l="1"/>
  <c r="D32" i="11"/>
  <c r="J97" i="4"/>
  <c r="J105" i="4" s="1"/>
  <c r="D31" i="11"/>
  <c r="K105" i="4"/>
  <c r="L63" i="4"/>
  <c r="D100" i="11"/>
  <c r="D85" i="11"/>
  <c r="S81" i="4"/>
  <c r="E81" i="13" s="1"/>
  <c r="D77" i="11"/>
  <c r="D53" i="11"/>
  <c r="B43" i="11"/>
  <c r="D41" i="11"/>
  <c r="C43" i="11"/>
  <c r="D30" i="11"/>
  <c r="D7" i="11"/>
  <c r="L97" i="4"/>
  <c r="L105" i="4" s="1"/>
  <c r="AH718" i="3"/>
  <c r="R8" i="4"/>
  <c r="D5" i="11"/>
  <c r="AH733" i="3"/>
  <c r="AH732" i="3"/>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F63" i="4"/>
  <c r="F97" i="4" s="1"/>
  <c r="F105" i="4" s="1"/>
  <c r="B39" i="11"/>
  <c r="C39" i="11"/>
  <c r="B11" i="13"/>
  <c r="C12" i="4"/>
  <c r="B12" i="13" s="1"/>
  <c r="E12" i="4"/>
  <c r="E63" i="4"/>
  <c r="E97" i="4" s="1"/>
  <c r="E105" i="4" s="1"/>
  <c r="R11" i="4"/>
  <c r="S10" i="4"/>
  <c r="E10" i="13" s="1"/>
  <c r="D11" i="11"/>
  <c r="C9" i="11"/>
  <c r="C13" i="11" s="1"/>
  <c r="B8" i="4"/>
  <c r="N187" i="27" s="1"/>
  <c r="AH730" i="3"/>
  <c r="AH722" i="3"/>
  <c r="AH720" i="3"/>
  <c r="AH728" i="3"/>
  <c r="AH725" i="3"/>
  <c r="AH727" i="3"/>
  <c r="AH724" i="3"/>
  <c r="AH723" i="3"/>
  <c r="AH726" i="3"/>
  <c r="AH729" i="3"/>
  <c r="AH721" i="3"/>
  <c r="AH719" i="3"/>
  <c r="I58" i="7"/>
  <c r="K53" i="7"/>
  <c r="G58" i="7"/>
  <c r="E38" i="13"/>
  <c r="B104" i="4"/>
  <c r="B97" i="11"/>
  <c r="D97" i="11" s="1"/>
  <c r="B96" i="4"/>
  <c r="R96" i="4"/>
  <c r="N186" i="27"/>
  <c r="R81" i="4"/>
  <c r="D82" i="11"/>
  <c r="R77" i="4"/>
  <c r="C63" i="11"/>
  <c r="D63" i="11" s="1"/>
  <c r="R54" i="4"/>
  <c r="D51" i="11"/>
  <c r="B55" i="11"/>
  <c r="C55" i="11"/>
  <c r="B42" i="4"/>
  <c r="R38" i="4"/>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R12" i="4" l="1"/>
  <c r="D39" i="11"/>
  <c r="B64" i="11"/>
  <c r="R63" i="4"/>
  <c r="D9" i="11"/>
  <c r="N193" i="27"/>
  <c r="B12" i="4"/>
  <c r="B98" i="11"/>
  <c r="B106" i="11" s="1"/>
  <c r="E65" i="13"/>
  <c r="S70" i="4"/>
  <c r="E70" i="13" s="1"/>
  <c r="D55" i="11"/>
  <c r="S42" i="4"/>
  <c r="E42" i="13" s="1"/>
  <c r="E40" i="13"/>
  <c r="AY1004" i="3"/>
  <c r="B63" i="4"/>
  <c r="AJ610" i="20"/>
  <c r="G62" i="21"/>
  <c r="K58" i="7"/>
  <c r="M53" i="7"/>
  <c r="R97" i="4"/>
  <c r="R105" i="4" s="1"/>
  <c r="C64" i="1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D64" i="11" l="1"/>
  <c r="S63" i="4"/>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N184" i="27" s="1"/>
  <c r="O58" i="7"/>
  <c r="Q53" i="7"/>
  <c r="G38" i="21"/>
  <c r="G40" i="21" s="1"/>
  <c r="E10" i="21" s="1"/>
  <c r="AP694" i="20"/>
  <c r="AP695" i="20"/>
  <c r="AJ700" i="20" s="1"/>
  <c r="AK783" i="20" s="1"/>
  <c r="T808" i="20" s="1"/>
  <c r="AF808" i="20" s="1"/>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40" i="3"/>
  <c r="AJ1006" i="3"/>
  <c r="AJ1028" i="3"/>
  <c r="AJ1035" i="3"/>
  <c r="I14" i="21" s="1"/>
  <c r="Q58" i="7"/>
  <c r="S53"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J1052" i="3" l="1"/>
  <c r="AP546" i="20" s="1"/>
  <c r="AP545" i="20" s="1"/>
  <c r="S107" i="4"/>
  <c r="E105" i="13"/>
  <c r="AZ846" i="3"/>
  <c r="AZ843" i="3"/>
  <c r="S58" i="7"/>
  <c r="U53" i="7"/>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4" i="15" l="1"/>
  <c r="AC456" i="3"/>
  <c r="AF540" i="20"/>
  <c r="E107" i="13"/>
  <c r="AZ851" i="3"/>
  <c r="AP548" i="20"/>
  <c r="AF541" i="20" s="1"/>
  <c r="U58" i="7"/>
  <c r="W53" i="7"/>
  <c r="K11" i="7"/>
  <c r="K37" i="7" s="1"/>
  <c r="K45" i="7" s="1"/>
  <c r="O5" i="7"/>
  <c r="Q4" i="7"/>
  <c r="M7" i="7"/>
  <c r="M11" i="7" s="1"/>
  <c r="M37" i="7" s="1"/>
  <c r="O6" i="7"/>
  <c r="G62"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<sst xmlns="http://schemas.openxmlformats.org/spreadsheetml/2006/main" count="5317" uniqueCount="2793">
  <si>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</si>
  <si>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</si>
  <si>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</si>
  <si>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</si>
  <si>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</si>
  <si>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</si>
  <si>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</si>
  <si>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</si>
  <si>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</si>
  <si>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</si>
  <si>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</si>
  <si>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</si>
  <si>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</si>
  <si>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</si>
  <si>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</si>
  <si>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</si>
  <si>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</si>
  <si>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</si>
  <si>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</si>
  <si>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</si>
  <si>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</si>
  <si>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</si>
  <si>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</si>
  <si>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</si>
  <si>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</si>
  <si>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</si>
  <si>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</si>
  <si>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</si>
  <si>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</si>
  <si>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</si>
  <si>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</si>
  <si>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</si>
  <si>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</si>
  <si>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</si>
  <si>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</si>
  <si>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</si>
  <si>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</si>
  <si>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</si>
  <si>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</si>
  <si>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</si>
  <si>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</si>
  <si>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</si>
  <si>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</si>
  <si>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</si>
  <si>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</si>
  <si>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</si>
  <si>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</si>
  <si>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</si>
  <si>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</si>
  <si>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</si>
  <si>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</si>
  <si>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</si>
  <si>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</si>
  <si>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</si>
  <si>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</si>
  <si>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</si>
  <si>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</si>
  <si>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</si>
  <si>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</si>
  <si>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</si>
  <si>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</si>
  <si>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</si>
  <si>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</si>
  <si>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</si>
  <si>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</si>
  <si>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</si>
  <si>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</si>
  <si>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</si>
  <si>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</si>
  <si>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</si>
  <si>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</si>
  <si>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</si>
  <si>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</si>
  <si>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</si>
  <si>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</si>
  <si>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</si>
  <si>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</si>
  <si>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</si>
  <si>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</si>
  <si>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</si>
  <si>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</si>
  <si>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</si>
  <si>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</si>
  <si>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</si>
  <si>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</si>
  <si>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</si>
  <si>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</si>
  <si>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</si>
  <si>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</si>
  <si>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</si>
  <si>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</si>
  <si>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</si>
  <si>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</si>
  <si>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</si>
  <si>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</si>
  <si>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</si>
  <si>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</si>
  <si>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</si>
  <si>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</si>
  <si>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</si>
  <si>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</si>
  <si>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</si>
  <si>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</si>
  <si>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</si>
  <si>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</si>
  <si>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</si>
  <si>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</si>
  <si>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</si>
  <si>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</si>
  <si>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</si>
  <si>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</si>
  <si>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</si>
  <si>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</si>
  <si>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</si>
  <si>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</si>
  <si>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</si>
  <si>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</si>
  <si>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</si>
  <si>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</si>
  <si>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</si>
  <si>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</si>
  <si>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</si>
  <si>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</si>
  <si>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</si>
  <si>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</si>
  <si>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</si>
  <si>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</si>
  <si>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</si>
  <si>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</si>
  <si>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</si>
  <si>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</si>
  <si>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</si>
  <si>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</si>
  <si>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</si>
  <si>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</si>
  <si>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</si>
  <si>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</si>
  <si>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</si>
  <si>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</si>
  <si>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</si>
  <si>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</si>
  <si>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</si>
  <si>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</si>
  <si>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</si>
  <si>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</si>
  <si>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</si>
  <si>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</si>
  <si>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</si>
  <si>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</si>
  <si>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</si>
  <si>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</si>
  <si>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</si>
  <si>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</si>
  <si>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</si>
  <si>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</si>
  <si>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</si>
  <si>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</si>
  <si>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</si>
  <si>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</si>
  <si>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</si>
  <si>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</si>
  <si>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</si>
  <si>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</si>
  <si>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</si>
  <si>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</si>
  <si>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</si>
  <si>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</si>
  <si>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</si>
  <si>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</si>
  <si>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</si>
  <si>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</si>
  <si>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</si>
  <si>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</si>
  <si>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</si>
  <si>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</si>
  <si>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</si>
  <si>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</si>
  <si>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</si>
  <si>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</si>
  <si>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</si>
  <si>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</si>
  <si>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</si>
  <si>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</si>
  <si>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</si>
  <si>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</si>
  <si>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</si>
  <si>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</si>
  <si>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</si>
  <si>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</si>
  <si>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</si>
  <si>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</si>
  <si>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</si>
  <si>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</si>
  <si>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</si>
  <si>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</si>
  <si>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</si>
  <si>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</si>
  <si>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</si>
  <si>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</si>
  <si>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</si>
  <si>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</si>
  <si>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</si>
  <si>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</si>
  <si>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</si>
  <si>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</si>
  <si>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</si>
  <si>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</si>
  <si>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</si>
  <si>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</si>
  <si>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</si>
  <si>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</si>
  <si>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</si>
  <si>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</si>
  <si>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</si>
  <si>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</si>
  <si>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</si>
  <si>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</si>
  <si>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</si>
  <si>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</si>
  <si>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</si>
  <si>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</si>
  <si>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</si>
  <si>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</si>
  <si>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</si>
  <si>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</si>
  <si>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</si>
  <si>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</si>
  <si>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</si>
  <si>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</si>
  <si>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</si>
  <si>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</si>
  <si>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</si>
  <si>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</si>
  <si>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</si>
  <si>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</si>
  <si>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</si>
  <si>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</si>
  <si>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</si>
  <si>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</si>
  <si>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</si>
  <si>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</si>
  <si>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</si>
  <si>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</si>
  <si>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</si>
  <si>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</si>
  <si>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</si>
  <si>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</si>
  <si>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</si>
  <si>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</si>
  <si>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</si>
  <si>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</si>
  <si>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</si>
  <si>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</si>
  <si>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</si>
  <si>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</si>
  <si>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</si>
  <si>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</si>
  <si>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</si>
  <si>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</si>
  <si>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</si>
  <si>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</si>
  <si>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</si>
  <si>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</si>
  <si>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</si>
  <si>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</si>
  <si>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</si>
  <si>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</si>
  <si>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</si>
  <si>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</si>
  <si>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</si>
  <si>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</si>
  <si>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</si>
  <si>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</si>
  <si>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</si>
  <si>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</si>
  <si>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</si>
  <si>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</si>
  <si>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</si>
  <si>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</si>
  <si>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</si>
  <si>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</si>
  <si>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</si>
  <si>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</si>
  <si>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</si>
  <si>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</si>
  <si>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</si>
  <si>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</si>
  <si>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</si>
  <si>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</si>
  <si>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</si>
  <si>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</si>
  <si>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</si>
  <si>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</si>
  <si>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</si>
  <si>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</si>
  <si>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</si>
  <si>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</si>
  <si>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</si>
  <si>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</si>
  <si>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</si>
  <si>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</si>
  <si>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</si>
  <si>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</si>
  <si>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</si>
  <si>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</si>
  <si>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</si>
  <si>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</si>
  <si>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</si>
  <si>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</si>
  <si>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</si>
  <si>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</si>
  <si>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</si>
  <si>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</si>
  <si>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</si>
  <si>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</si>
  <si>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</si>
  <si>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</si>
  <si>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</si>
  <si>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</si>
  <si>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</si>
  <si>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</si>
  <si>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</si>
  <si>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</si>
  <si>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</si>
  <si>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</si>
  <si>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</si>
  <si>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</si>
  <si>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</si>
  <si>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</si>
  <si>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</si>
  <si>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</si>
  <si>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</si>
  <si>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</si>
  <si>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</si>
  <si>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</si>
  <si>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</si>
  <si>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</si>
  <si>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</si>
  <si>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</si>
  <si>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</si>
  <si>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</si>
  <si>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</si>
  <si>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</si>
  <si>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</si>
  <si>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</si>
  <si>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</si>
  <si>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</si>
  <si>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</si>
  <si>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</si>
  <si>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</si>
  <si>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</si>
  <si>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</si>
  <si>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</si>
  <si>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</si>
  <si>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</si>
  <si>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</si>
  <si>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</si>
  <si>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</si>
  <si>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</si>
  <si>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</si>
  <si>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</si>
  <si>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</si>
  <si>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</si>
  <si>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</si>
  <si>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</si>
  <si>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</si>
  <si>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</si>
  <si>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</si>
  <si>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</si>
  <si>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</si>
  <si>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</si>
  <si>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</si>
  <si>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</si>
  <si>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</si>
  <si>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</si>
  <si>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</si>
  <si>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</si>
  <si>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</si>
  <si>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</si>
  <si>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</si>
  <si>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</si>
  <si>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</si>
  <si>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</si>
  <si>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</si>
  <si>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</si>
  <si>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</si>
  <si>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</si>
  <si>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</si>
  <si>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</si>
  <si>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</si>
  <si>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</si>
  <si>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</si>
  <si>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</si>
  <si>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</si>
  <si>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</si>
  <si>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</si>
  <si>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</si>
  <si>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</si>
  <si>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</si>
  <si>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</si>
  <si>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</si>
  <si>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</si>
  <si>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</si>
  <si>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</si>
  <si>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</si>
  <si>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</si>
  <si>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</si>
  <si>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</si>
  <si>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</si>
  <si>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</si>
  <si>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</si>
  <si>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</si>
  <si>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</si>
  <si>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</si>
  <si>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</si>
  <si>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</si>
  <si>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</si>
  <si>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</si>
  <si>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</si>
  <si>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</si>
  <si>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</si>
  <si>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</si>
  <si>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</si>
  <si>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</si>
  <si>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</si>
  <si>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</si>
  <si>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</si>
  <si>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</si>
  <si>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</si>
  <si>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</si>
  <si>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</si>
  <si>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</si>
  <si>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</si>
  <si>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</si>
  <si>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</si>
  <si>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</si>
  <si>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</si>
  <si>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</si>
  <si>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</si>
  <si>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</si>
  <si>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</si>
  <si>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</si>
  <si>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</si>
  <si>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</si>
  <si>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</si>
  <si>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</si>
  <si>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</si>
  <si>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</si>
  <si>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</si>
  <si>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</si>
  <si>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</si>
  <si>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</si>
  <si>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</si>
  <si>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</si>
  <si>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</si>
  <si>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</si>
  <si>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</si>
  <si>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</si>
  <si>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</si>
  <si>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</si>
  <si>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</si>
  <si>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</si>
  <si>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</si>
  <si>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</si>
  <si>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</si>
  <si>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</si>
  <si>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</si>
  <si>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</si>
  <si>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</si>
  <si>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</si>
  <si>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</si>
  <si>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</si>
  <si>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</si>
  <si>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</si>
  <si>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</si>
  <si>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</si>
  <si>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</si>
  <si>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</si>
  <si>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</si>
  <si>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</si>
  <si>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</si>
  <si>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</si>
  <si>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</si>
  <si>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</si>
  <si>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</si>
  <si>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</si>
  <si>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</si>
  <si>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</si>
  <si>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</si>
  <si>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</si>
  <si>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</si>
  <si>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</si>
  <si>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</si>
  <si>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</si>
  <si>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</si>
  <si>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</si>
  <si>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</si>
  <si>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</si>
  <si>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</si>
  <si>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</si>
  <si>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</si>
  <si>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</si>
  <si>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</si>
  <si>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</si>
  <si>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</si>
  <si>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</si>
  <si>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</si>
  <si>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</si>
  <si>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</si>
  <si>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</si>
  <si>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</si>
  <si>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</si>
  <si>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</si>
  <si>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</si>
  <si>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</si>
  <si>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</si>
  <si>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</si>
  <si>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</si>
  <si>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</si>
  <si>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</si>
  <si>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</si>
  <si>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</si>
  <si>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</si>
  <si>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</si>
  <si>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</si>
  <si>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</si>
  <si>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</si>
  <si>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</si>
  <si>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</si>
  <si>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</si>
  <si>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</si>
  <si>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</si>
  <si>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</si>
  <si>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</si>
  <si>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</si>
  <si>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</si>
  <si>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</si>
  <si>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</si>
  <si>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</si>
  <si>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</si>
  <si>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</si>
  <si>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</si>
  <si>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</si>
  <si>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</si>
  <si>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</si>
  <si>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</si>
  <si>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</si>
  <si>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</si>
  <si>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</si>
  <si>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</si>
  <si>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</si>
  <si>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</si>
  <si>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</si>
  <si>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</si>
  <si>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</si>
  <si>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</si>
  <si>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</si>
  <si>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</si>
  <si>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</si>
  <si>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</si>
  <si>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</si>
  <si>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</si>
  <si>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</si>
  <si>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</si>
  <si>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</si>
  <si>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</si>
  <si>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</si>
  <si>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</si>
  <si>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</si>
  <si>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</si>
  <si>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</si>
  <si>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</si>
  <si>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</si>
  <si>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</si>
  <si>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</si>
  <si>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</si>
  <si>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</si>
  <si>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</si>
  <si>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</si>
  <si>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</si>
  <si>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</si>
  <si>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</si>
  <si>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</si>
  <si>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</si>
  <si>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</si>
  <si>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</si>
  <si>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</si>
  <si>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</si>
  <si>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</si>
  <si>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</si>
  <si>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</si>
  <si>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</si>
  <si>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</si>
  <si>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</si>
  <si>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</si>
  <si>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</si>
  <si>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</si>
  <si>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</si>
  <si>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</si>
  <si>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</si>
  <si>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</si>
  <si>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</si>
  <si>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</si>
  <si>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</si>
  <si>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</si>
  <si>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</si>
  <si>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</si>
  <si>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</si>
  <si>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</si>
  <si>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</si>
  <si>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</si>
  <si>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</si>
  <si>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</si>
  <si>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</si>
  <si>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</si>
  <si>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</si>
  <si>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</si>
  <si>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</si>
  <si>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</si>
  <si>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</si>
  <si>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</si>
  <si>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</si>
  <si>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</si>
  <si>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</si>
  <si>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</si>
  <si>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</si>
  <si>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</si>
  <si>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</si>
  <si>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</si>
  <si>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</si>
  <si>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</si>
  <si>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</si>
  <si>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</si>
  <si>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</si>
  <si>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</si>
  <si>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</si>
  <si>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</si>
  <si>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</si>
  <si>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</si>
  <si>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</si>
  <si>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</si>
  <si>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</si>
  <si>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</si>
  <si>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</si>
  <si>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</si>
  <si>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</si>
  <si>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</si>
  <si>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</si>
  <si>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</si>
  <si>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</si>
  <si>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</si>
  <si>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</si>
  <si>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</si>
  <si>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</si>
  <si>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</si>
  <si>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</si>
  <si>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</si>
  <si>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</si>
  <si>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</si>
  <si>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</si>
  <si>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</si>
  <si>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</si>
  <si>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</si>
  <si>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</si>
  <si>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</si>
  <si>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</si>
  <si>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</si>
  <si>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</si>
  <si>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</si>
  <si>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</si>
  <si>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</si>
  <si>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</si>
  <si>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</si>
  <si>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</si>
  <si>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</si>
  <si>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</si>
  <si>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</si>
  <si>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</si>
  <si>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</si>
  <si>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</si>
  <si>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</si>
  <si>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</si>
  <si>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</si>
  <si>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</si>
  <si>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</si>
  <si>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</si>
  <si>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</si>
  <si>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</si>
  <si>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</si>
  <si>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</si>
  <si>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</si>
  <si>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</si>
  <si>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</si>
  <si>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</si>
  <si>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</si>
  <si>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</si>
  <si>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</si>
  <si>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</si>
  <si>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</si>
  <si>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</si>
  <si>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</si>
  <si>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</si>
  <si>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</si>
  <si>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</si>
  <si>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</si>
  <si>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</si>
  <si>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</si>
  <si>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</si>
  <si>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</si>
  <si>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</si>
  <si>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</si>
  <si>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</si>
  <si>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</si>
  <si>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</si>
  <si>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</si>
  <si>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</si>
  <si>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</si>
  <si>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</si>
  <si>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</si>
  <si>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</si>
  <si>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</si>
  <si>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</si>
  <si>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</si>
  <si>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</si>
  <si>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</si>
  <si>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</si>
  <si>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</si>
  <si>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</si>
  <si>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</si>
  <si>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</si>
  <si>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</si>
  <si>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</si>
  <si>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</si>
  <si>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</si>
  <si>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</si>
  <si>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</si>
  <si>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</si>
  <si>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</si>
  <si>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</si>
  <si>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</si>
  <si>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</si>
  <si>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</si>
  <si>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</si>
  <si>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</si>
  <si>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</si>
  <si>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</si>
  <si>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</si>
  <si>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</si>
  <si>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</si>
  <si>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</si>
  <si>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</si>
  <si>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</si>
  <si>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</si>
  <si>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</si>
  <si>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</si>
  <si>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</si>
  <si>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</si>
  <si>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</si>
  <si>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</si>
  <si>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</si>
  <si>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</si>
  <si>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</si>
  <si>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</si>
  <si>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</si>
  <si>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</si>
  <si>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</si>
  <si>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</si>
  <si>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</si>
  <si>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</si>
  <si>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</si>
  <si>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</si>
  <si>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</si>
  <si>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</si>
  <si>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</si>
  <si>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</si>
  <si>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</si>
  <si>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</si>
  <si>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</si>
  <si>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</si>
  <si>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</si>
  <si>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</si>
  <si>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</si>
  <si>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</si>
  <si>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</si>
  <si>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</si>
  <si>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</si>
  <si>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</si>
  <si>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</si>
  <si>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</si>
  <si>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</si>
  <si>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</si>
  <si>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</si>
  <si>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</si>
  <si>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</si>
  <si>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</si>
  <si>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</si>
  <si>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</si>
  <si>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</si>
  <si>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</si>
  <si>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</si>
  <si>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</si>
  <si>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</si>
  <si>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</si>
  <si>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</si>
  <si>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</si>
  <si>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</si>
  <si>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</si>
  <si>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</si>
  <si>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</si>
  <si>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</si>
  <si>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</si>
  <si>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</si>
  <si>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</si>
  <si>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</si>
  <si>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</si>
  <si>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</si>
  <si>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</si>
  <si>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</si>
  <si>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</si>
  <si>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</si>
  <si>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</si>
  <si>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</si>
  <si>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</si>
  <si>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</si>
  <si>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</si>
  <si>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</si>
  <si>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</si>
  <si>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</si>
  <si>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</si>
  <si>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</si>
  <si>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</si>
  <si>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</si>
  <si>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</si>
  <si>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</si>
  <si>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</si>
  <si>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</si>
  <si>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</si>
  <si>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</si>
  <si>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</si>
  <si>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</si>
  <si>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</si>
  <si>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</si>
  <si>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</si>
  <si>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</si>
  <si>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</si>
  <si>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</si>
  <si>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</si>
  <si>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</si>
  <si>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</si>
  <si>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</si>
  <si>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</si>
  <si>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</si>
  <si>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</si>
  <si>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</si>
  <si>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</si>
  <si>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</si>
  <si>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</si>
  <si>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</si>
  <si>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</si>
  <si>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</si>
  <si>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</si>
  <si>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</si>
  <si>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</si>
  <si>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</si>
  <si>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</si>
  <si>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</si>
  <si>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</si>
  <si>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</si>
  <si>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</si>
  <si>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</si>
  <si>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</si>
  <si>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</si>
  <si>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</si>
  <si>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</si>
  <si>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</si>
  <si>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</si>
  <si>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</si>
  <si>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</si>
  <si>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</si>
  <si>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</si>
  <si>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</si>
  <si>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</si>
  <si>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</si>
  <si>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</si>
  <si>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</si>
  <si>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</si>
  <si>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</si>
  <si>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</si>
  <si>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</si>
  <si>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</si>
  <si>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</si>
  <si>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</si>
  <si>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</si>
  <si>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</si>
  <si>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</si>
  <si>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</si>
  <si>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</si>
  <si>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</si>
  <si>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</si>
  <si>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</si>
  <si>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</si>
  <si>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</si>
  <si>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</si>
  <si>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</si>
  <si>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</si>
  <si>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</si>
  <si>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</si>
  <si>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</si>
  <si>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</si>
  <si>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</si>
  <si>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</si>
  <si>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</si>
  <si>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</si>
  <si>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</si>
  <si>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</si>
  <si>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</si>
  <si>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</si>
  <si>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</si>
  <si>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</si>
  <si>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</si>
  <si>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</si>
  <si>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</si>
  <si>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</si>
  <si>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</si>
  <si>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</si>
  <si>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</si>
  <si>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</si>
  <si>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</si>
  <si>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</si>
  <si>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</si>
  <si>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</si>
  <si>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</si>
  <si>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</si>
  <si>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</si>
  <si>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</si>
  <si>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</si>
  <si>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</si>
  <si>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</si>
  <si>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</si>
  <si>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</si>
  <si>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</si>
  <si>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</si>
  <si>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</si>
  <si>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</si>
  <si>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</si>
  <si>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</si>
  <si>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</si>
  <si>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</si>
  <si>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</si>
  <si>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</si>
  <si>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</si>
  <si>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</si>
  <si>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</si>
  <si>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</si>
  <si>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</si>
  <si>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</si>
  <si>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</si>
  <si>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</si>
  <si>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</si>
  <si>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</si>
  <si>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</si>
  <si>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</si>
  <si>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</si>
  <si>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</si>
  <si>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</si>
  <si>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</si>
  <si>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</si>
  <si>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</si>
  <si>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</si>
  <si>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</si>
  <si>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</si>
  <si>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</si>
  <si>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</si>
  <si>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</si>
  <si>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</si>
  <si>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</si>
  <si>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</si>
  <si>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</si>
  <si>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</si>
  <si>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</si>
  <si>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</si>
  <si>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</si>
  <si>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</si>
  <si>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</si>
  <si>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</si>
  <si>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</si>
  <si>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</si>
  <si>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</si>
  <si>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</si>
  <si>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</si>
  <si>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</si>
  <si>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</si>
  <si>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</si>
  <si>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</si>
  <si>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</si>
  <si>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</si>
  <si>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</si>
  <si>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</si>
  <si>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</si>
  <si>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</si>
  <si>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</si>
  <si>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</si>
  <si>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</si>
  <si>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</si>
  <si>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</si>
  <si>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</si>
  <si>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</si>
  <si>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</si>
  <si>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</si>
  <si>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</si>
  <si>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</si>
  <si>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</si>
  <si>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</si>
  <si>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</si>
  <si>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</si>
  <si>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</si>
  <si>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</si>
  <si>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</si>
  <si>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</si>
  <si>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</si>
  <si>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</si>
  <si>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</si>
  <si>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</si>
  <si>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</si>
  <si>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</si>
  <si>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</si>
  <si>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</si>
  <si>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</si>
  <si>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</si>
  <si>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</si>
  <si>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</si>
  <si>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</si>
  <si>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</si>
  <si>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</si>
  <si>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</si>
  <si>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</si>
  <si>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</si>
  <si>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</si>
  <si>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</si>
  <si>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</si>
  <si>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</si>
  <si>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</si>
  <si>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</si>
  <si>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</si>
  <si>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</si>
  <si>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</si>
  <si>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</si>
  <si>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</si>
  <si>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</si>
  <si>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</si>
  <si>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</si>
  <si>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</si>
  <si>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</si>
  <si>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</si>
  <si>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</si>
  <si>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</si>
  <si>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</si>
  <si>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</si>
  <si>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</si>
  <si>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</si>
  <si>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</si>
  <si>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</si>
  <si>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</si>
  <si>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</si>
  <si>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</si>
  <si>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</si>
  <si>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</si>
  <si>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</si>
  <si>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</si>
  <si>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</si>
  <si>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</si>
  <si>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</si>
  <si>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</si>
  <si>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</si>
  <si>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</si>
  <si>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</si>
  <si>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</si>
  <si>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</si>
  <si>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</si>
  <si>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</si>
  <si>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</si>
  <si>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</si>
  <si>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</si>
  <si>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</si>
  <si>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</si>
  <si>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</si>
  <si>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</si>
  <si>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</si>
  <si>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</si>
  <si>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</si>
  <si>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</si>
  <si>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</si>
  <si>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</si>
  <si>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</si>
  <si>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</si>
  <si>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</si>
  <si>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</si>
  <si>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</si>
  <si>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</si>
  <si>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</si>
  <si>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</si>
  <si>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</si>
  <si>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</si>
  <si>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</si>
  <si>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</si>
  <si>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</si>
  <si>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</si>
  <si>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</si>
  <si>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</si>
  <si>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</si>
  <si>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</si>
  <si>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</si>
  <si>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</si>
  <si>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</si>
  <si>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</si>
  <si>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</si>
  <si>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</si>
  <si>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</si>
  <si>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</si>
  <si>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</si>
  <si>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</si>
  <si>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</si>
  <si>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</si>
  <si>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</si>
  <si>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</si>
  <si>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</si>
  <si>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</si>
  <si>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</si>
  <si>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</si>
  <si>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</si>
  <si>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</si>
  <si>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</si>
  <si>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</si>
  <si>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</si>
  <si>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</si>
  <si>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</si>
  <si>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</si>
  <si>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</si>
  <si>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</si>
  <si>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</si>
  <si>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</si>
  <si>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</si>
  <si>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</si>
  <si>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</si>
  <si>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</si>
  <si>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</si>
  <si>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</si>
  <si>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</si>
  <si>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</si>
  <si>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</si>
  <si>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</si>
  <si>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</si>
  <si>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</si>
  <si>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</si>
  <si>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</si>
  <si>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</si>
  <si>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</si>
  <si>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</si>
  <si>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</si>
  <si>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</si>
  <si>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</si>
  <si>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</si>
  <si>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</si>
  <si>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</si>
  <si>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</si>
  <si>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</si>
  <si>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</si>
  <si>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</si>
  <si>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</si>
  <si>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</si>
  <si>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</si>
  <si>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</si>
  <si>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</si>
  <si>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</si>
  <si>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</si>
  <si>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</si>
  <si>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</si>
  <si>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</si>
  <si>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</si>
  <si>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</si>
  <si>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</si>
  <si>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</si>
  <si>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</si>
  <si>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</si>
  <si>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</si>
  <si>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</si>
  <si>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</si>
  <si>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</si>
  <si>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</si>
  <si>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</si>
  <si>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</si>
  <si>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</si>
  <si>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</si>
  <si>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</si>
  <si>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</si>
  <si>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</si>
  <si>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</si>
  <si>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</si>
  <si>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</si>
  <si>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</si>
  <si>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</si>
  <si>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</si>
  <si>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</si>
  <si>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</si>
  <si>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</si>
  <si>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</si>
  <si>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</si>
  <si>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</si>
  <si>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</si>
  <si>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</si>
  <si>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</si>
  <si>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</si>
  <si>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</si>
  <si>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</si>
  <si>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</si>
  <si>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</si>
  <si>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</si>
  <si>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</si>
  <si>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</si>
  <si>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</si>
  <si>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</si>
  <si>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</si>
  <si>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</si>
  <si>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</si>
  <si>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</si>
  <si>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</si>
  <si>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</si>
  <si>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</si>
  <si>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</si>
  <si>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</si>
  <si>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</si>
  <si>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</si>
  <si>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</si>
  <si>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</si>
  <si>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</si>
  <si>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</si>
  <si>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</si>
  <si>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</si>
  <si>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</si>
  <si>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</si>
  <si>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</si>
  <si>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</si>
  <si>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</si>
  <si>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</si>
  <si>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</si>
  <si>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</si>
  <si>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</si>
  <si>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</si>
  <si>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</si>
  <si>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</si>
  <si>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</si>
  <si>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</si>
  <si>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</si>
  <si>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</si>
  <si>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</si>
  <si>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</si>
  <si>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</si>
  <si>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</si>
  <si>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</si>
  <si>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</si>
  <si>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</si>
  <si>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</si>
  <si>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</si>
  <si>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</si>
  <si>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</si>
  <si>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</si>
  <si>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</si>
  <si>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</si>
  <si>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</si>
  <si>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</si>
  <si>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</si>
  <si>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</si>
  <si>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</si>
  <si>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</si>
  <si>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</si>
  <si>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</si>
  <si>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</si>
  <si>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</si>
  <si>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</si>
  <si>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</si>
  <si>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</si>
  <si>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</si>
  <si>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</si>
  <si>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</si>
  <si>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</si>
  <si>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</si>
  <si>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</si>
  <si>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</si>
  <si>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</si>
  <si>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</si>
  <si>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</si>
  <si>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</si>
  <si>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</si>
  <si>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</si>
  <si>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</si>
  <si>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</si>
  <si>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</si>
  <si>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</si>
  <si>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</si>
  <si>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</si>
  <si>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</si>
  <si>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</si>
  <si>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</si>
  <si>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</si>
  <si>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</si>
  <si>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</si>
  <si>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</si>
  <si>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</si>
  <si>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</si>
  <si>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</si>
  <si>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</si>
  <si>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</si>
  <si>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</si>
  <si>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</si>
  <si>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</si>
  <si>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</si>
  <si>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</si>
  <si>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</si>
  <si>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</si>
  <si>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</si>
  <si>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</si>
  <si>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</si>
  <si>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</si>
  <si>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</si>
  <si>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</si>
  <si>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</si>
  <si>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</si>
  <si>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</si>
  <si>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</si>
  <si>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</si>
  <si>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</si>
  <si>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</si>
  <si>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</si>
  <si>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</si>
  <si>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</si>
  <si>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</si>
  <si>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</si>
  <si>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</si>
  <si>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</si>
  <si>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</si>
  <si>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</si>
  <si>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</si>
  <si>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</si>
  <si>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</si>
  <si>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</si>
  <si>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</si>
  <si>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</si>
  <si>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</si>
  <si>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</si>
  <si>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</si>
  <si>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</si>
  <si>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</si>
  <si>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</si>
  <si>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</si>
  <si>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</si>
  <si>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</si>
  <si>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</si>
  <si>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</si>
  <si>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</si>
  <si>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</si>
  <si>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</si>
  <si>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</si>
  <si>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</si>
  <si>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</si>
  <si>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</si>
  <si>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</si>
  <si>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</si>
  <si>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</si>
  <si>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</si>
  <si>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</si>
  <si>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</si>
  <si>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</si>
  <si>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</si>
  <si>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</si>
  <si>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</si>
  <si>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</si>
  <si>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</si>
  <si>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</si>
  <si>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</si>
  <si>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</si>
  <si>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</si>
  <si>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</si>
  <si>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</si>
  <si>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</si>
  <si>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</si>
  <si>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</si>
  <si>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</si>
  <si>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</si>
  <si>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</si>
  <si>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</si>
  <si>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</si>
  <si>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</si>
  <si>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</si>
  <si>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</si>
  <si>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</si>
  <si>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</si>
  <si>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</si>
  <si>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</si>
  <si>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</si>
  <si>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</si>
  <si>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</si>
  <si>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</si>
  <si>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</si>
  <si>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</si>
  <si>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</si>
  <si>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</si>
  <si>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</si>
  <si>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</si>
  <si>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</si>
  <si>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</si>
  <si>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</si>
  <si>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</si>
  <si>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</si>
  <si>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</si>
  <si>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</si>
  <si>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</si>
  <si>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</si>
  <si>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</si>
  <si>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</si>
  <si>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</si>
  <si>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</si>
  <si>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</si>
  <si>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</si>
  <si>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</si>
  <si>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</si>
  <si>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</si>
  <si>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</si>
  <si>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</si>
  <si>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</si>
  <si>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</si>
  <si>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</si>
  <si>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</si>
  <si>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</si>
  <si>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</si>
  <si>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</si>
  <si>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</si>
  <si>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</si>
  <si>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</si>
  <si>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</si>
  <si>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</si>
  <si>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</si>
  <si>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</si>
  <si>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</si>
  <si>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</si>
  <si>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</si>
  <si>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</si>
  <si>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</si>
  <si>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</si>
  <si>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</si>
  <si>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</si>
  <si>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</si>
  <si>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</si>
  <si>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</si>
  <si>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</si>
  <si>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</si>
  <si>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</si>
  <si>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</si>
  <si>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</si>
  <si>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</si>
  <si>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</si>
  <si>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</si>
  <si>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</si>
  <si>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</si>
  <si>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</si>
  <si>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</si>
  <si>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</si>
  <si>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</si>
  <si>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</si>
  <si>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</si>
  <si>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</si>
  <si>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</si>
  <si>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</si>
  <si>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</si>
  <si>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</si>
  <si>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</si>
  <si>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</si>
  <si>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</si>
  <si>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</si>
  <si>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</si>
  <si>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</si>
  <si>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</si>
  <si>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</si>
  <si>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</si>
  <si>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</si>
  <si>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</si>
  <si>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</si>
  <si>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</si>
  <si>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</si>
  <si>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</si>
  <si>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</si>
  <si>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</si>
  <si>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</si>
  <si>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</si>
  <si>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</si>
  <si>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</si>
  <si>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</si>
  <si>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</si>
  <si>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</si>
  <si>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</si>
  <si>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</si>
  <si>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</si>
  <si>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</si>
  <si>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</si>
  <si>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</si>
  <si>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</si>
  <si>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</si>
  <si>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</si>
  <si>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</si>
  <si>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</si>
  <si>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</si>
  <si>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</si>
  <si>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</si>
  <si>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</si>
  <si>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</si>
  <si>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</si>
  <si>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</si>
  <si>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</si>
  <si>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</si>
  <si>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</si>
  <si>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</si>
  <si>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</si>
  <si>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</si>
  <si>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</si>
  <si>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</si>
  <si>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</si>
  <si>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</si>
  <si>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</si>
  <si>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</si>
  <si>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</si>
  <si>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</si>
  <si>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</si>
  <si>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</si>
  <si>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</si>
  <si>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</si>
  <si>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</si>
  <si>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</si>
  <si>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</si>
  <si>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</si>
  <si>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</si>
  <si>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</si>
  <si>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</si>
  <si>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</si>
  <si>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</si>
  <si>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</si>
  <si>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</si>
  <si>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</si>
  <si>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</si>
  <si>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</si>
  <si>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</si>
  <si>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</si>
  <si>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</si>
  <si>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</si>
  <si>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</si>
  <si>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</si>
  <si>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</si>
  <si>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</si>
  <si>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</si>
  <si>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</si>
  <si>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</si>
  <si>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</si>
  <si>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</si>
  <si>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</si>
  <si>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</si>
  <si>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</si>
  <si>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</si>
  <si>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</si>
  <si>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</si>
  <si>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</si>
  <si>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</si>
  <si>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</si>
  <si>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</si>
  <si>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</si>
  <si>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</si>
  <si>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</si>
  <si>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</si>
  <si>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</si>
  <si>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</si>
  <si>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</si>
  <si>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</si>
  <si>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</si>
  <si>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</si>
  <si>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</si>
  <si>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</si>
  <si>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</si>
  <si>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</si>
  <si>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</si>
  <si>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</si>
  <si>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</si>
  <si>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</si>
  <si>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</si>
  <si>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</si>
  <si>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</si>
  <si>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</si>
  <si>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</si>
  <si>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</si>
  <si>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</si>
  <si>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</si>
  <si>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</si>
  <si>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</si>
  <si>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</si>
  <si>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</si>
  <si>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</si>
  <si>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</si>
  <si>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</si>
  <si>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</si>
  <si>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</si>
  <si>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</si>
  <si>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</si>
  <si>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</si>
  <si>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</si>
  <si>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</si>
  <si>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</si>
  <si>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</si>
  <si>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</si>
  <si>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</si>
  <si>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</si>
  <si>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</si>
  <si>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</si>
  <si>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</si>
  <si>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</si>
  <si>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</si>
  <si>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</si>
  <si>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</si>
  <si>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</si>
  <si>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</si>
  <si>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</si>
  <si>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</si>
  <si>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</si>
  <si>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</si>
  <si>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</si>
  <si>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</si>
  <si>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</si>
  <si>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</si>
  <si>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</si>
  <si>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</si>
  <si>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</si>
  <si>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</si>
  <si>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</si>
  <si>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</si>
  <si>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</si>
  <si>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</si>
  <si>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</si>
  <si>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</si>
  <si>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</si>
  <si>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</si>
  <si>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</si>
  <si>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</si>
  <si>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</si>
  <si>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</si>
  <si>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</si>
  <si>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</si>
  <si>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</si>
  <si>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</si>
  <si>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</si>
  <si>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</si>
  <si>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</si>
  <si>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</si>
  <si>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</si>
  <si>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</si>
  <si>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</si>
  <si>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</si>
  <si>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</si>
  <si>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</si>
  <si>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</si>
  <si>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</si>
  <si>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</si>
  <si>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</si>
  <si>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</si>
  <si>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</si>
  <si>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</si>
  <si>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</si>
  <si>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</si>
  <si>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</si>
  <si>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</si>
  <si>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</si>
  <si>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</si>
  <si>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</si>
  <si>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</si>
  <si>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</si>
  <si>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</si>
  <si>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</si>
  <si>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</si>
  <si>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</si>
  <si>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</si>
  <si>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</si>
  <si>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</si>
  <si>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</si>
  <si>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</si>
  <si>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</si>
  <si>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</si>
  <si>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</si>
  <si>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</si>
  <si>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</si>
  <si>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</si>
  <si>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</si>
  <si>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</si>
  <si>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</si>
  <si>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</si>
  <si>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</si>
  <si>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</si>
  <si>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</si>
  <si>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</si>
  <si>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</si>
  <si>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</si>
  <si>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</si>
  <si>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</si>
  <si>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</si>
  <si>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</si>
  <si>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</si>
  <si>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</si>
  <si>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</si>
  <si>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</si>
  <si>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</si>
  <si>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</si>
  <si>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</si>
  <si>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</si>
  <si>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</si>
  <si>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</si>
  <si>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</si>
  <si>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</si>
  <si>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</si>
  <si>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</si>
  <si>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</si>
  <si>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</si>
  <si>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</si>
  <si>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</si>
  <si>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</si>
  <si>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</si>
  <si>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</si>
  <si>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</si>
  <si>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</si>
  <si>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</si>
  <si>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</si>
  <si>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</si>
  <si>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</si>
  <si>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</si>
  <si>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</si>
  <si>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</si>
  <si>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</si>
  <si>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</si>
  <si>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</si>
  <si>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</si>
  <si>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</si>
  <si>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</si>
  <si>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</si>
  <si>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</si>
  <si>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</si>
  <si>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</si>
  <si>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</si>
  <si>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</si>
  <si>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</si>
  <si>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</si>
  <si>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</si>
  <si>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</si>
  <si>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</si>
  <si>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</si>
  <si>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</si>
  <si>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</si>
  <si>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</si>
  <si>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</si>
  <si>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</si>
  <si>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</si>
  <si>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</si>
  <si>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</si>
  <si>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</si>
  <si>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</si>
  <si>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</si>
  <si>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</si>
  <si>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</si>
  <si>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</si>
  <si>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</si>
  <si>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</si>
  <si>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</si>
  <si>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</si>
  <si>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</si>
  <si>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</si>
  <si>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</si>
  <si>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</si>
  <si>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</si>
  <si>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</si>
  <si>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</si>
  <si>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</si>
  <si>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</si>
  <si>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</si>
  <si>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</si>
  <si>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</si>
  <si>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</si>
  <si>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</si>
  <si>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</si>
  <si>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</si>
  <si>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</si>
  <si>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</si>
  <si>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</si>
  <si>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</si>
  <si>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</si>
  <si>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</si>
  <si>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</si>
  <si>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</si>
  <si>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</si>
  <si>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</si>
  <si>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</si>
  <si>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</si>
  <si>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</si>
  <si>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</si>
  <si>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</si>
  <si>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</si>
  <si>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</si>
  <si>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</si>
  <si>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</si>
  <si>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</si>
  <si>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</si>
  <si>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</si>
  <si>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</si>
  <si>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</si>
  <si>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</si>
  <si>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</si>
  <si>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</si>
  <si>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</si>
  <si>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</si>
  <si>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</si>
  <si>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</si>
  <si>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</si>
  <si>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</si>
  <si>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</si>
  <si>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</si>
  <si>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</si>
  <si>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</si>
  <si>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</si>
  <si>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</si>
  <si>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</si>
  <si>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</si>
  <si>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</si>
  <si>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</si>
  <si>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</si>
  <si>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</si>
  <si>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</si>
  <si>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</si>
  <si>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</si>
  <si>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</si>
  <si>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</si>
  <si>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</si>
  <si>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</si>
  <si>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</si>
  <si>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</si>
  <si>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</si>
  <si>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</si>
  <si>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</si>
  <si>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</si>
  <si>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</si>
  <si>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</si>
  <si>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</si>
  <si>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</si>
  <si>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</si>
  <si>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</si>
  <si>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</si>
  <si>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</si>
  <si>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</si>
  <si>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</si>
  <si>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</si>
  <si>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</si>
  <si>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</si>
  <si>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</si>
  <si>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</si>
  <si>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</si>
  <si>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</si>
  <si>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</si>
  <si>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</si>
  <si>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</si>
  <si>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</si>
  <si>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</si>
  <si>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</si>
  <si>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</si>
  <si>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</si>
  <si>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</si>
  <si>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</si>
  <si>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</si>
  <si>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</si>
  <si>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</si>
  <si>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</si>
  <si>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</si>
  <si>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</si>
  <si>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</si>
  <si>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</si>
  <si>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</si>
  <si>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</si>
  <si>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</si>
  <si>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</si>
  <si>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</si>
  <si>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</si>
  <si>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</si>
  <si>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</si>
  <si>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</si>
  <si>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</si>
  <si>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</si>
  <si>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</si>
  <si>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</si>
  <si>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</si>
  <si>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</si>
  <si>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</si>
  <si>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</si>
  <si>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</si>
  <si>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</si>
  <si>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</si>
  <si>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</si>
  <si>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</si>
  <si>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</si>
  <si>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</si>
  <si>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</si>
  <si>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</si>
  <si>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</si>
  <si>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</si>
  <si>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</si>
  <si>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</si>
  <si>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</si>
  <si>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</si>
  <si>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</si>
  <si>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</si>
  <si>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</si>
  <si>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</si>
  <si>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</si>
  <si>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</si>
  <si>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</si>
  <si>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</si>
  <si>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</si>
  <si>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</si>
  <si>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</si>
  <si>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</si>
  <si>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</si>
  <si>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</si>
  <si>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</si>
  <si>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</si>
  <si>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</si>
  <si>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</si>
  <si>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</si>
  <si>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</si>
  <si>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</si>
  <si>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</si>
  <si>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</si>
  <si>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</si>
  <si>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</si>
  <si>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</si>
  <si>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</si>
  <si>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</si>
  <si>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</si>
  <si>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</si>
  <si>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</si>
  <si>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</si>
  <si>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</si>
  <si>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</si>
  <si>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</si>
  <si>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</si>
  <si>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</si>
  <si>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</si>
  <si>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</si>
  <si>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</si>
  <si>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</si>
  <si>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</si>
  <si>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</si>
  <si>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</si>
  <si>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</si>
  <si>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</si>
  <si>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</si>
  <si>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</si>
  <si>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</si>
  <si>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</si>
  <si>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</si>
  <si>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</si>
  <si>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</si>
  <si>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</si>
  <si>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</si>
  <si>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</si>
  <si>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</si>
  <si>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</si>
  <si>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</si>
  <si>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</si>
  <si>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</si>
  <si>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</si>
  <si>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</si>
  <si>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</si>
  <si>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</si>
  <si>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</si>
  <si>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</si>
  <si>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</si>
  <si>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</si>
  <si>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</si>
  <si>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</si>
  <si>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</si>
  <si>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</si>
  <si>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</si>
  <si>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</si>
  <si>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</si>
  <si>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</si>
  <si>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</si>
  <si>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</si>
  <si>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</si>
  <si>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</si>
  <si>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</si>
  <si>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</si>
  <si>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</si>
  <si>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</si>
  <si>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</si>
  <si>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</si>
  <si>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</si>
  <si>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</si>
  <si>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</si>
  <si>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</si>
  <si>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</si>
  <si>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</si>
  <si>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</si>
  <si>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</si>
  <si>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</si>
  <si>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</si>
  <si>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</si>
  <si>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</si>
  <si>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</si>
  <si>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</si>
  <si>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</si>
  <si>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</si>
  <si>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</si>
  <si>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</si>
  <si>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</si>
  <si>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</si>
  <si>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</si>
  <si>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</si>
  <si>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</si>
  <si>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</si>
  <si>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</si>
  <si>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</si>
  <si>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</si>
  <si>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</si>
  <si>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</si>
  <si>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</si>
  <si>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</si>
  <si>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</si>
  <si>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</si>
  <si>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</si>
  <si>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</si>
  <si>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</si>
  <si>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</si>
  <si>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</si>
  <si>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</si>
  <si>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</si>
  <si>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</si>
  <si>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</si>
  <si>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</si>
  <si>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</si>
  <si>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</si>
  <si>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</si>
  <si>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</si>
  <si>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</si>
  <si>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</si>
  <si>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</si>
  <si>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</si>
  <si>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</si>
  <si>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</si>
  <si>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</si>
  <si>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</si>
  <si>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</si>
  <si>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</si>
  <si>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</si>
  <si>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</si>
  <si>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</si>
  <si>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</si>
  <si>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</si>
  <si>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</si>
  <si>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</si>
  <si>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</si>
  <si>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</si>
  <si>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</si>
  <si>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</si>
  <si>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</si>
  <si>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</si>
  <si>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</si>
  <si>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</si>
  <si>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</si>
  <si>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</si>
  <si>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</si>
  <si>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</si>
  <si>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</si>
  <si>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</si>
  <si>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</si>
  <si>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</si>
  <si>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</si>
  <si>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</si>
  <si>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</si>
  <si>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</si>
  <si>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</si>
  <si>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</si>
  <si>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</si>
  <si>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</si>
  <si>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</si>
  <si>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</si>
  <si>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</si>
  <si>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</si>
  <si>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</si>
  <si>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</si>
  <si>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</si>
  <si>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</si>
  <si>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</si>
  <si>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</si>
  <si>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</si>
  <si>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</si>
  <si>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</si>
  <si>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</si>
  <si>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</si>
  <si>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</si>
  <si>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</si>
  <si>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</si>
  <si>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</si>
  <si>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</si>
  <si>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</si>
  <si>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</si>
  <si>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</si>
  <si>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</si>
  <si>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</si>
  <si>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</si>
  <si>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</si>
  <si>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</si>
  <si>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</si>
  <si>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</si>
  <si>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</si>
  <si>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</si>
  <si>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</si>
  <si>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</si>
  <si>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</si>
  <si>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</si>
  <si>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</si>
  <si>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</si>
  <si>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</si>
  <si>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</si>
  <si>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</si>
  <si>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</si>
  <si>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</si>
  <si>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</si>
  <si>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</si>
  <si>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</si>
  <si>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</si>
  <si>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</si>
  <si>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</si>
  <si>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</si>
  <si>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</si>
  <si>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</si>
  <si>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</si>
  <si>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</si>
  <si>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</si>
  <si>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</si>
  <si>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</si>
  <si>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</si>
  <si>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</si>
  <si>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</si>
  <si>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</si>
  <si>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</si>
  <si>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</si>
  <si>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</si>
  <si>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</si>
  <si>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</si>
  <si>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</si>
  <si>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</si>
  <si>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</si>
  <si>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</si>
  <si>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</si>
  <si>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</si>
  <si>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</si>
  <si>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</si>
  <si>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</si>
  <si>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</si>
  <si>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</si>
  <si>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</si>
  <si>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</si>
  <si>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</si>
  <si>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</si>
  <si>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</si>
  <si>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</si>
  <si>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</si>
  <si>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</si>
  <si>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</si>
  <si>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</si>
  <si>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</si>
  <si>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</si>
  <si>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</si>
  <si>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</si>
  <si>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</si>
  <si>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</si>
  <si>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</si>
  <si>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</si>
  <si>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</si>
  <si>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</si>
  <si>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</si>
  <si>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</si>
  <si>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</si>
  <si>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</si>
  <si>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</si>
  <si>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</si>
  <si>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</si>
  <si>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</si>
  <si>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</si>
  <si>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</si>
  <si>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</si>
  <si>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</si>
  <si>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</si>
  <si>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</si>
  <si>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</si>
  <si>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</si>
  <si>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</si>
  <si>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</si>
  <si>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</si>
  <si>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</si>
  <si>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</si>
  <si>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</si>
  <si>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</si>
  <si>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</si>
  <si>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</si>
  <si>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</si>
  <si>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</si>
  <si>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</si>
  <si>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</si>
  <si>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</si>
  <si>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</si>
  <si>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</si>
  <si>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</si>
  <si>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</si>
  <si>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</si>
  <si>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</si>
  <si>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</si>
  <si>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</si>
  <si>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</si>
  <si>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</si>
  <si>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</si>
  <si>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</si>
  <si>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</si>
  <si>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</si>
  <si>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</si>
  <si>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</si>
  <si>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</si>
  <si>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</si>
  <si>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</si>
  <si>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</si>
  <si>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</si>
  <si>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</si>
  <si>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</si>
  <si>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</si>
  <si>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</si>
  <si>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</si>
  <si>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</si>
  <si>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</si>
  <si>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</si>
  <si>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</si>
  <si>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</si>
  <si>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</si>
  <si>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</si>
  <si>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</si>
  <si>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</si>
  <si>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</si>
  <si>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</si>
  <si>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</si>
  <si>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</si>
  <si>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</si>
  <si>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</si>
  <si>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</si>
  <si>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</si>
  <si>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</si>
  <si>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</si>
  <si>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</si>
  <si>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</si>
  <si>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</si>
  <si>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</si>
  <si>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</si>
  <si>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</si>
  <si>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</si>
  <si>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</si>
  <si>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</si>
  <si>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</si>
  <si>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</si>
  <si>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</si>
  <si>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</si>
  <si>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</si>
  <si>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</si>
  <si>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</si>
  <si>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</si>
  <si>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</si>
  <si>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</si>
  <si>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</si>
  <si>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</si>
  <si>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</si>
  <si>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</si>
  <si>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</si>
  <si>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</si>
  <si>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</si>
  <si>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</si>
  <si>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</si>
  <si>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</si>
  <si>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</si>
  <si>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</si>
  <si>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</si>
  <si>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</si>
  <si>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</si>
  <si>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</si>
  <si>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</si>
  <si>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</si>
  <si>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</si>
  <si>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</si>
  <si>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</si>
  <si>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</si>
  <si>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</si>
  <si>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</si>
  <si>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</si>
  <si>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</si>
  <si>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</si>
  <si>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</si>
  <si>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</si>
  <si>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</si>
  <si>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</si>
  <si>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</si>
  <si>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</si>
  <si>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</si>
  <si>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</si>
  <si>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</si>
  <si>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</si>
  <si>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</si>
  <si>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</si>
  <si>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</si>
  <si>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</si>
  <si>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</si>
  <si>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</si>
  <si>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</si>
  <si>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</si>
  <si>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</si>
  <si>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</si>
  <si>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</si>
  <si>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</si>
  <si>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</si>
  <si>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</si>
  <si>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</si>
  <si>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</si>
  <si>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</si>
  <si>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</si>
  <si>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</si>
  <si>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</si>
  <si>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</si>
  <si>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</si>
  <si>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</si>
  <si>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</si>
  <si>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</si>
  <si>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</si>
  <si>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</si>
  <si>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</si>
  <si>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</si>
  <si>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</si>
  <si>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</si>
  <si>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</si>
  <si>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</si>
  <si>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</si>
  <si>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</si>
  <si>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</si>
  <si>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</si>
  <si>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</si>
  <si>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</si>
  <si>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</si>
  <si>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</si>
  <si>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</si>
  <si>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</si>
  <si>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</si>
  <si>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</si>
  <si>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</si>
  <si>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</si>
  <si>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</si>
  <si>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</si>
  <si>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</si>
  <si>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</si>
  <si>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</si>
  <si>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</si>
  <si>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</si>
  <si>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</si>
  <si>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</si>
  <si>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</si>
  <si>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</si>
  <si>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</si>
  <si>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</si>
  <si>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</si>
  <si>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</si>
  <si>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</si>
  <si>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</si>
  <si>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</si>
  <si>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</si>
  <si>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</si>
  <si>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</si>
  <si>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</si>
  <si>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</si>
  <si>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</si>
  <si>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</si>
  <si>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</si>
  <si>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</si>
  <si>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</si>
  <si>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</si>
  <si>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</si>
  <si>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</si>
  <si>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</si>
  <si>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</si>
  <si>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</si>
  <si>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</si>
  <si>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</si>
  <si>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</si>
  <si>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</si>
  <si>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</si>
  <si>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</si>
  <si>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</si>
  <si>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</si>
  <si>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</si>
  <si>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</si>
  <si>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</si>
  <si>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</si>
  <si>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</si>
  <si>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</si>
  <si>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</si>
  <si>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</si>
  <si>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</si>
  <si>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</si>
  <si>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</si>
  <si>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</si>
  <si>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</si>
  <si>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</si>
  <si>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</si>
  <si>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</si>
  <si>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</si>
  <si>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</si>
  <si>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</si>
  <si>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</si>
  <si>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</si>
  <si>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</si>
  <si>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</si>
  <si>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</si>
  <si>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</si>
  <si>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</si>
  <si>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</si>
  <si>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</si>
  <si>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</si>
  <si>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</si>
  <si>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</si>
  <si>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</si>
  <si>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</si>
  <si>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</si>
  <si>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</si>
  <si>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</si>
  <si>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</si>
  <si>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</si>
  <si>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</si>
  <si>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</si>
  <si>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</si>
  <si>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</si>
  <si>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</si>
  <si>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</si>
  <si>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</si>
  <si>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</si>
  <si>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</si>
  <si>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</si>
  <si>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</si>
  <si>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</si>
  <si>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</si>
  <si>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</si>
  <si>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</si>
  <si>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</si>
  <si>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</si>
  <si>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</si>
  <si>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</si>
  <si>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</si>
  <si>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</si>
  <si>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</si>
  <si>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</si>
  <si>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</si>
  <si>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</si>
  <si>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</si>
  <si>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</si>
  <si>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</si>
  <si>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</si>
  <si>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</si>
  <si>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</si>
  <si>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</si>
  <si>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</si>
  <si>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</si>
  <si>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</si>
  <si>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</si>
  <si>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</si>
  <si>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</si>
  <si>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</si>
  <si>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</si>
  <si>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</si>
  <si>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</si>
  <si>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</si>
  <si>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</si>
  <si>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</si>
  <si>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</si>
  <si>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</si>
  <si>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</si>
  <si>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</si>
  <si>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</si>
  <si>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</si>
  <si>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</si>
  <si>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</si>
  <si>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</si>
  <si>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</si>
  <si>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</si>
  <si>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</si>
  <si>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</si>
  <si>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</si>
  <si>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</si>
  <si>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</si>
  <si>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</si>
  <si>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</si>
  <si>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</si>
  <si>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</si>
  <si>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</si>
  <si>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</si>
  <si>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</si>
  <si>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</si>
  <si>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</si>
  <si>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</si>
  <si>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</si>
  <si>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</si>
  <si>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</si>
  <si>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</si>
  <si>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</si>
  <si>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</si>
  <si>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</si>
  <si>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</si>
  <si>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</si>
  <si>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</si>
  <si>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</si>
  <si>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</si>
  <si>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</si>
  <si>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</si>
  <si>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</si>
  <si>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</si>
  <si>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</si>
  <si>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</si>
  <si>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</si>
  <si>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</si>
  <si>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</si>
  <si>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</si>
  <si>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</si>
  <si>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</si>
  <si>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</si>
  <si>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</si>
  <si>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</si>
  <si>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</si>
  <si>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</si>
  <si>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</si>
  <si>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</si>
  <si>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</si>
  <si>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</si>
  <si>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</si>
  <si>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</si>
  <si>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</si>
  <si>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</si>
  <si>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</si>
  <si>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</si>
  <si>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</si>
  <si>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</si>
  <si>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</si>
  <si>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</si>
  <si>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</si>
  <si>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</si>
  <si>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</si>
  <si>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</si>
  <si>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</si>
  <si>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</si>
  <si>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</si>
  <si>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</si>
  <si>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</si>
  <si>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</si>
  <si>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</si>
  <si>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</si>
  <si>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</si>
  <si>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</si>
  <si>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</si>
  <si>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</si>
  <si>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</si>
  <si>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</si>
  <si>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</si>
  <si>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</si>
  <si>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</si>
  <si>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</si>
  <si>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</si>
  <si>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</si>
  <si>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</si>
  <si>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</si>
  <si>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</si>
  <si>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</si>
  <si>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</si>
  <si>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</si>
  <si>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</si>
  <si>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</si>
  <si>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</si>
  <si>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</si>
  <si>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</si>
  <si>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</si>
  <si>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</si>
  <si>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</si>
  <si>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</si>
  <si>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</si>
  <si>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</si>
  <si>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</si>
  <si>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</si>
  <si>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</si>
  <si>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</si>
  <si>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</si>
  <si>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</si>
  <si>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</si>
  <si>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</si>
  <si>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</si>
  <si>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</si>
  <si>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</si>
  <si>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</si>
  <si>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</si>
  <si>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</si>
  <si>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</si>
  <si>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</si>
  <si>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</si>
  <si>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</si>
  <si>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</si>
  <si>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</si>
  <si>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</si>
  <si>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</si>
  <si>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</si>
  <si>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</si>
  <si>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</si>
  <si>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</si>
  <si>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</si>
  <si>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</si>
  <si>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</si>
  <si>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</si>
  <si>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</si>
  <si>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</si>
  <si>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</si>
  <si>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</si>
  <si>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</si>
  <si>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</si>
  <si>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</si>
  <si>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</si>
  <si>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</si>
  <si>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</si>
  <si>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</si>
  <si>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</si>
  <si>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</si>
  <si>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</si>
  <si>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</si>
  <si>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</si>
  <si>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</si>
  <si>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</si>
  <si>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</si>
  <si>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</si>
  <si>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</si>
  <si>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</si>
  <si>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</si>
  <si>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</si>
  <si>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</si>
  <si>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</si>
  <si>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</si>
  <si>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</si>
  <si>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</si>
  <si>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</si>
  <si>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</si>
  <si>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</si>
  <si>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</si>
  <si>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</si>
  <si>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</si>
  <si>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</si>
  <si>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</si>
  <si>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</si>
  <si>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</si>
  <si>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</si>
  <si>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</si>
  <si>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</si>
  <si>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</si>
  <si>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</si>
  <si>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</si>
  <si>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</si>
  <si>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</si>
  <si>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</si>
  <si>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</si>
  <si>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</si>
  <si>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</si>
  <si>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4487 N. Dresden Place, Ste. 101</t>
  </si>
  <si>
    <t>Boise, ID 83714</t>
  </si>
  <si>
    <t>Marshall Bratton</t>
  </si>
  <si>
    <t>208.375.6490</t>
  </si>
  <si>
    <t>208.375.6593</t>
  </si>
  <si>
    <t>marshall@gbbaccounting.com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</si>
  <si>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</si>
  <si>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</si>
  <si>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</si>
  <si>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</si>
  <si>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</si>
  <si>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</si>
  <si>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</si>
  <si>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</si>
  <si>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</si>
  <si>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</si>
  <si>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</si>
  <si>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</si>
  <si>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</si>
  <si>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</si>
  <si>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</si>
  <si>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</si>
  <si>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</si>
  <si>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</si>
  <si>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</si>
  <si>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</si>
  <si>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</si>
  <si>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</si>
  <si>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</si>
  <si>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</si>
  <si>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</si>
  <si>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</si>
  <si>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</si>
  <si>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</si>
  <si>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</si>
  <si>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</si>
  <si>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325 E. Hillcrest Drive, Suite 160</t>
  </si>
  <si>
    <t>Thousand Oaks, CA 91360</t>
  </si>
  <si>
    <t>Mike Hemmens</t>
  </si>
  <si>
    <t>805.557.0933</t>
  </si>
  <si>
    <t>Construction Loan (T.E. Bonds)</t>
  </si>
  <si>
    <t>Construction Loan (Taxable Bonds)</t>
  </si>
  <si>
    <t>Deferred Costs</t>
  </si>
  <si>
    <t>LIHTC Equity</t>
  </si>
  <si>
    <t>Permanent Loan (T.E. Bonds)</t>
  </si>
  <si>
    <t>Application Fees</t>
  </si>
  <si>
    <t>Telephone, Office Expenses</t>
  </si>
  <si>
    <t>Benefits, Payroll Taxes, Workers Comp</t>
  </si>
  <si>
    <t>Building &amp; Cleaning Supplies</t>
  </si>
  <si>
    <t>Licenses</t>
  </si>
  <si>
    <t>Annual Issuer &amp; Trustee Fees:</t>
  </si>
  <si>
    <t>Construction Lender Costs (Legal, Etc.)</t>
  </si>
  <si>
    <t>Bond Counsel</t>
  </si>
  <si>
    <t>Post Construction Interest Reserve</t>
  </si>
  <si>
    <t>Above residual receipts line for cash flow</t>
  </si>
  <si>
    <t>Below residual receipts line for cash flow</t>
  </si>
  <si>
    <t>Inner City Infill Site</t>
  </si>
  <si>
    <t>City Manager</t>
  </si>
  <si>
    <t>40%/60%</t>
  </si>
  <si>
    <t>HCD - AHSC Loan</t>
  </si>
  <si>
    <t>AHSC Loan</t>
  </si>
  <si>
    <t>Richmond Metrowalk Associates, a California Limited Partnership</t>
  </si>
  <si>
    <t>Metrowalk at Richmond Station</t>
  </si>
  <si>
    <t>City of Richmond</t>
  </si>
  <si>
    <t>Shasa Curl</t>
  </si>
  <si>
    <t>450 Civic Center Plaza, Suite 300</t>
  </si>
  <si>
    <t>Richmond</t>
  </si>
  <si>
    <t>510.620.6512</t>
  </si>
  <si>
    <t>510.620.6542</t>
  </si>
  <si>
    <t>shasa_curl@ci.richmond.ca.us</t>
  </si>
  <si>
    <t>Nevin Avenue &amp; 19th Street</t>
  </si>
  <si>
    <t>514-050-010-8</t>
  </si>
  <si>
    <t>E3 CA, Inc.</t>
  </si>
  <si>
    <t>2701 Cottage Way, Suite 3</t>
  </si>
  <si>
    <t>Sacramento, CA 95825</t>
  </si>
  <si>
    <t>Mark Silva</t>
  </si>
  <si>
    <t>916.382.7862</t>
  </si>
  <si>
    <t>msilva@e3cainc.com</t>
  </si>
  <si>
    <t>N/A (Public Entity)</t>
  </si>
  <si>
    <t>Executive Director &amp; City Manager</t>
  </si>
  <si>
    <t>450 Civic Center Plaza, Ste. 300</t>
  </si>
  <si>
    <t>Richmond, CA 94804</t>
  </si>
  <si>
    <t>Secured by Leasehold Interest</t>
  </si>
  <si>
    <t>6-story residential building (5 residential floors over 1 level of podium parking).</t>
  </si>
  <si>
    <t>High-Intensity Mixed-Use (Major Activity Center)</t>
  </si>
  <si>
    <t>CM-5 (Commercial Mixed-Use, Activity Center) / 135 dupa</t>
  </si>
  <si>
    <t>135' Maximum</t>
  </si>
  <si>
    <t>0 Parking spaces (SB 35)</t>
  </si>
  <si>
    <t>HCD - IIG Loan</t>
  </si>
  <si>
    <t>City of Richmond - City Loan</t>
  </si>
  <si>
    <t>City of Richmond - Value of Ground Lease</t>
  </si>
  <si>
    <t>2020 W. El Camino Ave., Ste. 670</t>
  </si>
  <si>
    <t>Sacramento, CA 95833</t>
  </si>
  <si>
    <t>Hector Leyva</t>
  </si>
  <si>
    <t>916.490.9313</t>
  </si>
  <si>
    <t>Infill Infrastructure Grant (IIG) Program Loan</t>
  </si>
  <si>
    <t>450 Civic Center Plaza</t>
  </si>
  <si>
    <t>Lina Velasco</t>
  </si>
  <si>
    <t>510.620.6841</t>
  </si>
  <si>
    <t>Value of Ground Lease</t>
  </si>
  <si>
    <t>Alisha Senter</t>
  </si>
  <si>
    <t>916.776.7588</t>
  </si>
  <si>
    <t>City Loan</t>
  </si>
  <si>
    <t>Air Conditioning</t>
  </si>
  <si>
    <t>Housing Authority of the County of Contra Costa (*no tenant allowance for water heating because of central electric boiler)</t>
  </si>
  <si>
    <t>HCD (IIG Loan), Ground Lease &amp; SB 35 Approval (State Prevailing Wages)</t>
  </si>
  <si>
    <t>Common areas / community spaces included within residential building.</t>
  </si>
  <si>
    <t>HCD - AHSC Loan (Hard Payment)</t>
  </si>
  <si>
    <t>HCD - AHSC Loan (Residual Receipts)</t>
  </si>
  <si>
    <t>Affordability restrictions due to density bonus. No more
restrictive than CTCAC application AMI commitment.</t>
  </si>
  <si>
    <t>Richmond Metrowalk Assoc.</t>
  </si>
  <si>
    <t>HCD (IIG Loan), Ground Lease / DDA with City of Richmond, SB 35 Approvals (State Prevailing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</si>
</sst>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6" fontId="13" fillId="5" borderId="4" xfId="0" applyNumberFormat="1" applyFont="1" applyFill="1" applyBorder="1" applyAlignment="1" applyProtection="1">
      <alignment horizontal="left"/>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Metrowalk at Richmond Station</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Richmond Metrowalk Associates, a California Limited Partnership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17600000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23</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38</v>
      </c>
      <c r="K19" s="2519"/>
      <c r="L19" s="2519"/>
      <c r="M19" s="2519"/>
      <c r="N19" s="2519"/>
      <c r="O19" s="2520"/>
      <c r="P19" s="2518" cm="1">
        <f t="array" ref="P19">SUMPRODUCT((Application!$B$718:$B$752 = 'CalHFA Addendum'!P$18)*(Application!$AC$718:$AC$752 = 'CalHFA Addendum'!$B19),Application!$G$718:$G$752)</f>
        <v>6</v>
      </c>
      <c r="Q19" s="2519"/>
      <c r="R19" s="2519"/>
      <c r="S19" s="2519"/>
      <c r="T19" s="2519"/>
      <c r="U19" s="2520"/>
      <c r="V19" s="2518" cm="1">
        <f t="array" ref="V19">SUMPRODUCT((Application!$B$714:$B$738 = 'CalHFA Addendum'!V$18)*(Application!$AC$714:$AC$738 = 'CalHFA Addendum'!$B19),Application!$G$714:$G$738)</f>
        <v>3</v>
      </c>
      <c r="W19" s="2519"/>
      <c r="X19" s="2519"/>
      <c r="Y19" s="2519"/>
      <c r="Z19" s="2519"/>
      <c r="AA19" s="2520"/>
      <c r="AB19" s="2518" cm="1">
        <f t="array" ref="AB19">SUMPRODUCT((Application!$B$714:$B$738 = 'CalHFA Addendum'!AB$18)*(Application!$AC$714:$AC$738 = 'CalHFA Addendum'!$B19),Application!$G$714:$G$738)</f>
        <v>16</v>
      </c>
      <c r="AC19" s="2519"/>
      <c r="AD19" s="2519"/>
      <c r="AE19" s="2519"/>
      <c r="AF19" s="2519"/>
      <c r="AG19" s="2520"/>
      <c r="AH19" s="2518" cm="1">
        <f t="array" ref="AH19">SUMPRODUCT((Application!$B$714:$B$738 = 'CalHFA Addendum'!AH$18)*(Application!$AC$714:$AC$738 = 'CalHFA Addendum'!$B19),Application!$G$714:$G$738)</f>
        <v>13</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0.25503355704697989</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36</v>
      </c>
      <c r="K21" s="2519"/>
      <c r="L21" s="2519"/>
      <c r="M21" s="2519"/>
      <c r="N21" s="2519"/>
      <c r="O21" s="2520"/>
      <c r="P21" s="2518" cm="1">
        <f t="array" ref="P21">SUMPRODUCT((Application!$B$714:$B$738 = 'CalHFA Addendum'!P$18)*(Application!$AC$714:$AC$738 = 'CalHFA Addendum'!$B21),Application!$G$714:$G$738)</f>
        <v>6</v>
      </c>
      <c r="Q21" s="2519"/>
      <c r="R21" s="2519"/>
      <c r="S21" s="2519"/>
      <c r="T21" s="2519"/>
      <c r="U21" s="2520"/>
      <c r="V21" s="2518" cm="1">
        <f t="array" ref="V21">SUMPRODUCT((Application!$B$714:$B$738 = 'CalHFA Addendum'!V$18)*(Application!$AC$714:$AC$738 = 'CalHFA Addendum'!$B21),Application!$G$714:$G$738)</f>
        <v>3</v>
      </c>
      <c r="W21" s="2519"/>
      <c r="X21" s="2519"/>
      <c r="Y21" s="2519"/>
      <c r="Z21" s="2519"/>
      <c r="AA21" s="2520"/>
      <c r="AB21" s="2518" cm="1">
        <f t="array" ref="AB21">SUMPRODUCT((Application!$B$714:$B$738 = 'CalHFA Addendum'!AB$18)*(Application!$AC$714:$AC$738 = 'CalHFA Addendum'!$B21),Application!$G$714:$G$738)</f>
        <v>10</v>
      </c>
      <c r="AC21" s="2519"/>
      <c r="AD21" s="2519"/>
      <c r="AE21" s="2519"/>
      <c r="AF21" s="2519"/>
      <c r="AG21" s="2520"/>
      <c r="AH21" s="2518" cm="1">
        <f t="array" ref="AH21">SUMPRODUCT((Application!$B$714:$B$738 = 'CalHFA Addendum'!AH$18)*(Application!$AC$714:$AC$738 = 'CalHFA Addendum'!$B21),Application!$G$714:$G$738)</f>
        <v>17</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0.24161073825503357</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75</v>
      </c>
      <c r="K22" s="2519"/>
      <c r="L22" s="2519"/>
      <c r="M22" s="2519"/>
      <c r="N22" s="2519"/>
      <c r="O22" s="2520"/>
      <c r="P22" s="2518" cm="1">
        <f t="array" ref="P22">SUMPRODUCT((Application!$B$714:$B$738 = 'CalHFA Addendum'!P$18)*(Application!$AC$714:$AC$738 = 'CalHFA Addendum'!$B22),Application!$G$714:$G$738)</f>
        <v>10</v>
      </c>
      <c r="Q22" s="2519"/>
      <c r="R22" s="2519"/>
      <c r="S22" s="2519"/>
      <c r="T22" s="2519"/>
      <c r="U22" s="2520"/>
      <c r="V22" s="2518" cm="1">
        <f t="array" ref="V22">SUMPRODUCT((Application!$B$714:$B$738 = 'CalHFA Addendum'!V$18)*(Application!$AC$714:$AC$738 = 'CalHFA Addendum'!$B22),Application!$G$714:$G$738)</f>
        <v>4</v>
      </c>
      <c r="W22" s="2519"/>
      <c r="X22" s="2519"/>
      <c r="Y22" s="2519"/>
      <c r="Z22" s="2519"/>
      <c r="AA22" s="2520"/>
      <c r="AB22" s="2518" cm="1">
        <f t="array" ref="AB22">SUMPRODUCT((Application!$B$714:$B$738 = 'CalHFA Addendum'!AB$18)*(Application!$AC$714:$AC$738 = 'CalHFA Addendum'!$B22),Application!$G$714:$G$738)</f>
        <v>42</v>
      </c>
      <c r="AC22" s="2519"/>
      <c r="AD22" s="2519"/>
      <c r="AE22" s="2519"/>
      <c r="AF22" s="2519"/>
      <c r="AG22" s="2520"/>
      <c r="AH22" s="2518" cm="1">
        <f t="array" ref="AH22">SUMPRODUCT((Application!$B$714:$B$738 = 'CalHFA Addendum'!AH$18)*(Application!$AC$714:$AC$738 = 'CalHFA Addendum'!$B22),Application!$G$714:$G$738)</f>
        <v>19</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0.50335570469798663</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0</v>
      </c>
      <c r="K23" s="2519"/>
      <c r="L23" s="2519"/>
      <c r="M23" s="2519"/>
      <c r="N23" s="2519"/>
      <c r="O23" s="2520"/>
      <c r="P23" s="2518" cm="1">
        <f t="array" ref="P23">SUMPRODUCT((Application!$B$714:$B$738 = 'CalHFA Addendum'!P$18)*(Application!$AC$714:$AC$738 = 'CalHFA Addendum'!$B23),Application!$G$714:$G$738)</f>
        <v>0</v>
      </c>
      <c r="Q23" s="2519"/>
      <c r="R23" s="2519"/>
      <c r="S23" s="2519"/>
      <c r="T23" s="2519"/>
      <c r="U23" s="2520"/>
      <c r="V23" s="2518" cm="1">
        <f t="array" ref="V23">SUMPRODUCT((Application!$B$714:$B$738 = 'CalHFA Addendum'!V$18)*(Application!$AC$714:$AC$738 = 'CalHFA Addendum'!$B23),Application!$G$714:$G$738)</f>
        <v>0</v>
      </c>
      <c r="W23" s="2519"/>
      <c r="X23" s="2519"/>
      <c r="Y23" s="2519"/>
      <c r="Z23" s="2519"/>
      <c r="AA23" s="2520"/>
      <c r="AB23" s="2518" cm="1">
        <f t="array" ref="AB23">SUMPRODUCT((Application!$B$714:$B$738 = 'CalHFA Addendum'!AB$18)*(Application!$AC$714:$AC$738 = 'CalHFA Addendum'!$B23),Application!$G$714:$G$738)</f>
        <v>0</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149</v>
      </c>
      <c r="K29" s="2482"/>
      <c r="L29" s="2482"/>
      <c r="M29" s="2482"/>
      <c r="N29" s="2482"/>
      <c r="O29" s="2483"/>
      <c r="P29" s="2481">
        <f>SUM(P19:U28)</f>
        <v>22</v>
      </c>
      <c r="Q29" s="2482"/>
      <c r="R29" s="2482"/>
      <c r="S29" s="2482"/>
      <c r="T29" s="2482"/>
      <c r="U29" s="2483"/>
      <c r="V29" s="2481">
        <f>SUM(V19:AA28)</f>
        <v>10</v>
      </c>
      <c r="W29" s="2482"/>
      <c r="X29" s="2482"/>
      <c r="Y29" s="2482"/>
      <c r="Z29" s="2482"/>
      <c r="AA29" s="2483"/>
      <c r="AB29" s="2481">
        <f>SUM(AB19:AG28)</f>
        <v>68</v>
      </c>
      <c r="AC29" s="2482"/>
      <c r="AD29" s="2482"/>
      <c r="AE29" s="2482"/>
      <c r="AF29" s="2482"/>
      <c r="AG29" s="2483"/>
      <c r="AH29" s="2481">
        <f>SUM(AH19:AM28)</f>
        <v>49</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0.33557046979865773</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6.7114093959731544E-2</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122614912</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980000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822918.87248322146</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3480000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6808397</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8250000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15058397</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721855.80536912754</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48" sqref="AK48"/>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112774890</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57" t="s">
        <v>977</v>
      </c>
      <c r="D18" s="1757"/>
      <c r="E18" s="1757"/>
      <c r="F18" s="1757"/>
      <c r="G18" s="1757"/>
      <c r="H18" s="1757"/>
      <c r="I18" s="1757"/>
      <c r="J18" s="1757"/>
      <c r="K18" s="1757"/>
      <c r="L18" s="1757"/>
      <c r="M18" s="1757"/>
      <c r="N18" s="1757"/>
      <c r="O18" s="1757"/>
      <c r="P18" s="1757"/>
      <c r="Q18" s="1757"/>
      <c r="R18" s="1757"/>
      <c r="S18" s="1758"/>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57" t="s">
        <v>977</v>
      </c>
      <c r="D19" s="1757"/>
      <c r="E19" s="1757"/>
      <c r="F19" s="1757"/>
      <c r="G19" s="1757"/>
      <c r="H19" s="1757"/>
      <c r="I19" s="1757"/>
      <c r="J19" s="1757"/>
      <c r="K19" s="1757"/>
      <c r="L19" s="1757"/>
      <c r="M19" s="1757"/>
      <c r="N19" s="1757"/>
      <c r="O19" s="1757"/>
      <c r="P19" s="1757"/>
      <c r="Q19" s="1757"/>
      <c r="R19" s="1757"/>
      <c r="S19" s="1758"/>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112774890</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235226054.31999999</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146607357</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146607357</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146607357</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146607357</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5864294</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5864294</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122614912</v>
      </c>
      <c r="AC47" s="2629"/>
      <c r="AD47" s="2629"/>
      <c r="AE47" s="2629"/>
      <c r="AF47" s="2630"/>
    </row>
    <row r="48" spans="1:76" ht="12.95" customHeight="1">
      <c r="D48" s="435" t="s">
        <v>21</v>
      </c>
      <c r="AB48" s="2628">
        <f>Application!AO639-MAX(IF('Sources and Uses Budget'!B15="",0,'Sources and Uses Budget'!B15),IF(Application!AG394="",0,Application!AG394))</f>
        <v>73359768</v>
      </c>
      <c r="AC48" s="2629"/>
      <c r="AD48" s="2629"/>
      <c r="AE48" s="2629"/>
      <c r="AF48" s="2630"/>
    </row>
    <row r="49" spans="1:76" ht="12.95" customHeight="1">
      <c r="D49" s="435" t="s">
        <v>91</v>
      </c>
      <c r="AB49" s="2628">
        <f>AB47-AB48</f>
        <v>49255144</v>
      </c>
      <c r="AC49" s="2629"/>
      <c r="AD49" s="2629"/>
      <c r="AE49" s="2629"/>
      <c r="AF49" s="2630"/>
    </row>
    <row r="50" spans="1:76" ht="12.95" customHeight="1">
      <c r="D50" s="435" t="s">
        <v>687</v>
      </c>
      <c r="AA50" s="446"/>
      <c r="AB50" s="2655">
        <f>0.9999*0.84</f>
        <v>0.839916</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58642940</v>
      </c>
      <c r="AC54" s="2629"/>
      <c r="AD54" s="2629"/>
      <c r="AE54" s="2629"/>
      <c r="AF54" s="2630"/>
    </row>
    <row r="55" spans="1:76" ht="12.95" customHeight="1">
      <c r="D55" s="435" t="s">
        <v>333</v>
      </c>
      <c r="AB55" s="2628">
        <f>(AB54/10)</f>
        <v>5864294</v>
      </c>
      <c r="AC55" s="2629"/>
      <c r="AD55" s="2629"/>
      <c r="AE55" s="2629"/>
      <c r="AF55" s="2630"/>
    </row>
    <row r="56" spans="1:76" ht="12.95" customHeight="1">
      <c r="D56" s="435" t="s">
        <v>763</v>
      </c>
      <c r="AB56" s="2659">
        <f>(IF((Y41&lt;AB55),Y41,AB55))</f>
        <v>5864294</v>
      </c>
      <c r="AC56" s="2660"/>
      <c r="AD56" s="2660"/>
      <c r="AE56" s="2660"/>
      <c r="AF56" s="2661"/>
    </row>
    <row r="57" spans="1:76" ht="12.95" customHeight="1">
      <c r="D57" s="435" t="s">
        <v>762</v>
      </c>
      <c r="AB57" s="2628">
        <f>ROUND((10*AB56*AB50),0)</f>
        <v>49255144</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112774890</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33832467</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30000000</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0" workbookViewId="0">
      <selection activeCell="K42" sqref="K42"/>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SRO/Studio</v>
      </c>
      <c r="B4" s="1121">
        <f>Application!G718</f>
        <v>6</v>
      </c>
      <c r="C4" s="1122"/>
      <c r="D4" s="459">
        <f>Application!O718</f>
        <v>752</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6</v>
      </c>
      <c r="C5" s="1122"/>
      <c r="D5" s="459">
        <f>Application!O719</f>
        <v>1297</v>
      </c>
      <c r="E5" s="460"/>
      <c r="F5" s="1123"/>
      <c r="G5" s="459">
        <f t="shared" ref="G5:G38" si="2">F5*B5</f>
        <v>0</v>
      </c>
      <c r="H5" s="460"/>
      <c r="I5" s="459" t="str">
        <f t="shared" si="0"/>
        <v/>
      </c>
      <c r="J5" s="459" t="str">
        <f t="shared" si="1"/>
        <v/>
      </c>
      <c r="K5" s="218"/>
      <c r="L5" s="328"/>
    </row>
    <row r="6" spans="1:12">
      <c r="A6" s="459" t="str">
        <f>Application!B720</f>
        <v>SRO/Studio</v>
      </c>
      <c r="B6" s="1121">
        <f>Application!G720</f>
        <v>10</v>
      </c>
      <c r="C6" s="1122"/>
      <c r="D6" s="459">
        <f>Application!O720</f>
        <v>1570</v>
      </c>
      <c r="E6" s="460"/>
      <c r="F6" s="1123"/>
      <c r="G6" s="459">
        <f t="shared" si="2"/>
        <v>0</v>
      </c>
      <c r="H6" s="460"/>
      <c r="I6" s="459" t="str">
        <f t="shared" si="0"/>
        <v/>
      </c>
      <c r="J6" s="459" t="str">
        <f t="shared" si="1"/>
        <v/>
      </c>
      <c r="K6" s="218"/>
      <c r="L6" s="328"/>
    </row>
    <row r="7" spans="1:12">
      <c r="A7" s="459" t="str">
        <f>Application!B721</f>
        <v>1 Bedroom</v>
      </c>
      <c r="B7" s="1121">
        <f>Application!G721</f>
        <v>3</v>
      </c>
      <c r="C7" s="1122"/>
      <c r="D7" s="459">
        <f>Application!O721</f>
        <v>798</v>
      </c>
      <c r="E7" s="460"/>
      <c r="F7" s="1123"/>
      <c r="G7" s="459">
        <f t="shared" si="2"/>
        <v>0</v>
      </c>
      <c r="H7" s="460"/>
      <c r="I7" s="459" t="str">
        <f t="shared" si="0"/>
        <v/>
      </c>
      <c r="J7" s="459" t="str">
        <f t="shared" si="1"/>
        <v/>
      </c>
      <c r="K7" s="218"/>
      <c r="L7" s="328"/>
    </row>
    <row r="8" spans="1:12">
      <c r="A8" s="459" t="str">
        <f>Application!B722</f>
        <v>1 Bedroom</v>
      </c>
      <c r="B8" s="1121">
        <f>Application!G722</f>
        <v>3</v>
      </c>
      <c r="C8" s="1122"/>
      <c r="D8" s="459">
        <f>Application!O722</f>
        <v>1382</v>
      </c>
      <c r="E8" s="460"/>
      <c r="F8" s="1123"/>
      <c r="G8" s="459">
        <f t="shared" si="2"/>
        <v>0</v>
      </c>
      <c r="H8" s="460"/>
      <c r="I8" s="459" t="str">
        <f t="shared" si="0"/>
        <v/>
      </c>
      <c r="J8" s="459" t="str">
        <f t="shared" si="1"/>
        <v/>
      </c>
      <c r="K8" s="218"/>
      <c r="L8" s="328"/>
    </row>
    <row r="9" spans="1:12">
      <c r="A9" s="459" t="str">
        <f>Application!B723</f>
        <v>1 Bedroom</v>
      </c>
      <c r="B9" s="1121">
        <f>Application!G723</f>
        <v>4</v>
      </c>
      <c r="C9" s="1122"/>
      <c r="D9" s="459">
        <f>Application!O723</f>
        <v>1674</v>
      </c>
      <c r="E9" s="460"/>
      <c r="F9" s="1123"/>
      <c r="G9" s="459">
        <f t="shared" si="2"/>
        <v>0</v>
      </c>
      <c r="H9" s="460"/>
      <c r="I9" s="459" t="str">
        <f t="shared" si="0"/>
        <v/>
      </c>
      <c r="J9" s="459" t="str">
        <f t="shared" si="1"/>
        <v/>
      </c>
      <c r="K9" s="218"/>
      <c r="L9" s="328"/>
    </row>
    <row r="10" spans="1:12">
      <c r="A10" s="459" t="str">
        <f>Application!B724</f>
        <v>2 Bedrooms</v>
      </c>
      <c r="B10" s="1121">
        <f>Application!G724</f>
        <v>16</v>
      </c>
      <c r="C10" s="1122"/>
      <c r="D10" s="459">
        <f>Application!O724</f>
        <v>940</v>
      </c>
      <c r="E10" s="460"/>
      <c r="F10" s="1123"/>
      <c r="G10" s="459">
        <f t="shared" si="2"/>
        <v>0</v>
      </c>
      <c r="H10" s="460"/>
      <c r="I10" s="459" t="str">
        <f t="shared" si="0"/>
        <v/>
      </c>
      <c r="J10" s="459" t="str">
        <f t="shared" si="1"/>
        <v/>
      </c>
      <c r="K10" s="218"/>
      <c r="L10" s="328"/>
    </row>
    <row r="11" spans="1:12">
      <c r="A11" s="459" t="str">
        <f>Application!B725</f>
        <v>2 Bedrooms</v>
      </c>
      <c r="B11" s="1121">
        <f>Application!G725</f>
        <v>10</v>
      </c>
      <c r="C11" s="1122"/>
      <c r="D11" s="459">
        <f>Application!O725</f>
        <v>1641</v>
      </c>
      <c r="E11" s="460"/>
      <c r="F11" s="1123"/>
      <c r="G11" s="459">
        <f t="shared" si="2"/>
        <v>0</v>
      </c>
      <c r="H11" s="460"/>
      <c r="I11" s="459" t="str">
        <f t="shared" si="0"/>
        <v/>
      </c>
      <c r="J11" s="459" t="str">
        <f t="shared" si="1"/>
        <v/>
      </c>
      <c r="K11" s="218"/>
      <c r="L11" s="328"/>
    </row>
    <row r="12" spans="1:12">
      <c r="A12" s="459" t="str">
        <f>Application!B726</f>
        <v>2 Bedrooms</v>
      </c>
      <c r="B12" s="1121">
        <f>Application!G726</f>
        <v>42</v>
      </c>
      <c r="C12" s="1122"/>
      <c r="D12" s="459">
        <f>Application!O726</f>
        <v>1992</v>
      </c>
      <c r="E12" s="460"/>
      <c r="F12" s="1123"/>
      <c r="G12" s="459">
        <f t="shared" si="2"/>
        <v>0</v>
      </c>
      <c r="H12" s="460"/>
      <c r="I12" s="459" t="str">
        <f t="shared" si="0"/>
        <v/>
      </c>
      <c r="J12" s="459" t="str">
        <f t="shared" si="1"/>
        <v/>
      </c>
      <c r="K12" s="218"/>
      <c r="L12" s="328"/>
    </row>
    <row r="13" spans="1:12">
      <c r="A13" s="459" t="str">
        <f>Application!B727</f>
        <v>3 Bedrooms</v>
      </c>
      <c r="B13" s="1121">
        <f>Application!G727</f>
        <v>13</v>
      </c>
      <c r="C13" s="1122"/>
      <c r="D13" s="459">
        <f>Application!O727</f>
        <v>1072</v>
      </c>
      <c r="E13" s="460"/>
      <c r="F13" s="1123"/>
      <c r="G13" s="459">
        <f t="shared" si="2"/>
        <v>0</v>
      </c>
      <c r="H13" s="460"/>
      <c r="I13" s="459" t="str">
        <f t="shared" si="0"/>
        <v/>
      </c>
      <c r="J13" s="459" t="str">
        <f t="shared" si="1"/>
        <v/>
      </c>
      <c r="K13" s="218"/>
      <c r="L13" s="328"/>
    </row>
    <row r="14" spans="1:12">
      <c r="A14" s="459" t="str">
        <f>Application!B728</f>
        <v>3 Bedrooms</v>
      </c>
      <c r="B14" s="1121">
        <f>Application!G728</f>
        <v>17</v>
      </c>
      <c r="C14" s="1122"/>
      <c r="D14" s="459">
        <f>Application!O728</f>
        <v>1882</v>
      </c>
      <c r="E14" s="460"/>
      <c r="F14" s="1123"/>
      <c r="G14" s="459">
        <f t="shared" si="2"/>
        <v>0</v>
      </c>
      <c r="H14" s="460"/>
      <c r="I14" s="459" t="str">
        <f t="shared" si="0"/>
        <v/>
      </c>
      <c r="J14" s="459" t="str">
        <f t="shared" si="1"/>
        <v/>
      </c>
      <c r="K14" s="218"/>
      <c r="L14" s="328"/>
    </row>
    <row r="15" spans="1:12">
      <c r="A15" s="459" t="str">
        <f>Application!B729</f>
        <v>3 Bedrooms</v>
      </c>
      <c r="B15" s="1121">
        <f>Application!G729</f>
        <v>19</v>
      </c>
      <c r="C15" s="1122"/>
      <c r="D15" s="459">
        <f>Application!O729</f>
        <v>2287</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245727</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4" sqref="A4"/>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2948724</v>
      </c>
      <c r="G4" s="235">
        <f>E4*$C$4</f>
        <v>3022442.0999999996</v>
      </c>
      <c r="I4" s="235">
        <f>G4*$C$4</f>
        <v>3098003.1524999994</v>
      </c>
      <c r="K4" s="235">
        <f>I4*$C$4</f>
        <v>3175453.2313124989</v>
      </c>
      <c r="M4" s="235">
        <f>K4*$C$4</f>
        <v>3254839.562095311</v>
      </c>
      <c r="O4" s="235">
        <f>M4*$C$4</f>
        <v>3336210.5511476933</v>
      </c>
      <c r="Q4" s="235">
        <f>O4*$C$4</f>
        <v>3419615.8149263854</v>
      </c>
      <c r="S4" s="235">
        <f>Q4*$C$4</f>
        <v>3505106.210299545</v>
      </c>
      <c r="U4" s="235">
        <f>S4*$C$4</f>
        <v>3592733.8655570331</v>
      </c>
      <c r="W4" s="235">
        <f>U4*$C$4</f>
        <v>3682552.2121959585</v>
      </c>
      <c r="Y4" s="235">
        <f>W4*$C$4</f>
        <v>3774616.0175008569</v>
      </c>
      <c r="AA4" s="235">
        <f>Y4*$C$4</f>
        <v>3868981.4179383782</v>
      </c>
      <c r="AC4" s="235">
        <f>AA4*$C$4</f>
        <v>3965705.9533868372</v>
      </c>
      <c r="AE4" s="235">
        <f>AC4*$C$4</f>
        <v>4064848.6022215076</v>
      </c>
      <c r="AG4" s="235">
        <f>AE4*$C$4</f>
        <v>4166469.817277045</v>
      </c>
    </row>
    <row r="5" spans="1:34" s="225" customFormat="1" ht="14">
      <c r="B5" s="225" t="s">
        <v>847</v>
      </c>
      <c r="C5" s="254">
        <f>IF(Application!$D$211="Special Needs",0.1,0.05)</f>
        <v>0.05</v>
      </c>
      <c r="E5" s="237">
        <f>-E4*$C$5</f>
        <v>-147436.20000000001</v>
      </c>
      <c r="F5" s="237"/>
      <c r="G5" s="237">
        <f>-G4*$C$5</f>
        <v>-151122.10499999998</v>
      </c>
      <c r="H5" s="237"/>
      <c r="I5" s="237">
        <f>-I4*$C$5</f>
        <v>-154900.15762499996</v>
      </c>
      <c r="J5" s="237"/>
      <c r="K5" s="237">
        <f>-K4*$C$5</f>
        <v>-158772.66156562496</v>
      </c>
      <c r="L5" s="237"/>
      <c r="M5" s="237">
        <f>-M4*$C$5</f>
        <v>-162741.97810476556</v>
      </c>
      <c r="N5" s="237"/>
      <c r="O5" s="237">
        <f>-O4*$C$5</f>
        <v>-166810.52755738469</v>
      </c>
      <c r="P5" s="237"/>
      <c r="Q5" s="237">
        <f>-Q4*$C$5</f>
        <v>-170980.79074631928</v>
      </c>
      <c r="R5" s="237"/>
      <c r="S5" s="237">
        <f>-S4*$C$5</f>
        <v>-175255.31051497726</v>
      </c>
      <c r="T5" s="237"/>
      <c r="U5" s="237">
        <f>-U4*$C$5</f>
        <v>-179636.69327785168</v>
      </c>
      <c r="V5" s="237"/>
      <c r="W5" s="237">
        <f>-W4*$C$5</f>
        <v>-184127.61060979794</v>
      </c>
      <c r="X5" s="237"/>
      <c r="Y5" s="237">
        <f>-Y4*$C$5</f>
        <v>-188730.80087504286</v>
      </c>
      <c r="Z5" s="237"/>
      <c r="AA5" s="237">
        <f>-AA4*$C$5</f>
        <v>-193449.07089691891</v>
      </c>
      <c r="AB5" s="237"/>
      <c r="AC5" s="237">
        <f>-AC4*$C$5</f>
        <v>-198285.29766934188</v>
      </c>
      <c r="AD5" s="237"/>
      <c r="AE5" s="237">
        <f>-AE4*$C$5</f>
        <v>-203242.4301110754</v>
      </c>
      <c r="AF5" s="237"/>
      <c r="AG5" s="237">
        <f>-AG4*$C$5</f>
        <v>-208323.49086385226</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22500</v>
      </c>
      <c r="F8" s="238"/>
      <c r="G8" s="238">
        <f>E8*$C$8</f>
        <v>23062.499999999996</v>
      </c>
      <c r="H8" s="238"/>
      <c r="I8" s="238">
        <f>G8*$C$8</f>
        <v>23639.062499999993</v>
      </c>
      <c r="J8" s="238"/>
      <c r="K8" s="238">
        <f>I8*$C$8</f>
        <v>24230.039062499989</v>
      </c>
      <c r="L8" s="238"/>
      <c r="M8" s="238">
        <f>K8*$C$8</f>
        <v>24835.790039062485</v>
      </c>
      <c r="N8" s="238"/>
      <c r="O8" s="238">
        <f>M8*$C$8</f>
        <v>25456.684790039046</v>
      </c>
      <c r="P8" s="238"/>
      <c r="Q8" s="238">
        <f>O8*$C$8</f>
        <v>26093.101909790021</v>
      </c>
      <c r="R8" s="238"/>
      <c r="S8" s="238">
        <f>Q8*$C$8</f>
        <v>26745.42945753477</v>
      </c>
      <c r="T8" s="238"/>
      <c r="U8" s="238">
        <f>S8*$C$8</f>
        <v>27414.065193973136</v>
      </c>
      <c r="V8" s="238"/>
      <c r="W8" s="238">
        <f>U8*$C$8</f>
        <v>28099.416823822463</v>
      </c>
      <c r="X8" s="238"/>
      <c r="Y8" s="238">
        <f>W8*$C$8</f>
        <v>28801.902244418023</v>
      </c>
      <c r="Z8" s="238"/>
      <c r="AA8" s="238">
        <f>Y8*$C$8</f>
        <v>29521.949800528469</v>
      </c>
      <c r="AB8" s="238"/>
      <c r="AC8" s="238">
        <f>AA8*$C$8</f>
        <v>30259.998545541679</v>
      </c>
      <c r="AD8" s="238"/>
      <c r="AE8" s="238">
        <f>AC8*$C$8</f>
        <v>31016.498509180219</v>
      </c>
      <c r="AF8" s="238"/>
      <c r="AG8" s="238">
        <f>AE8*$C$8</f>
        <v>31791.910971909721</v>
      </c>
    </row>
    <row r="9" spans="1:34" s="225" customFormat="1" ht="14">
      <c r="B9" s="225" t="s">
        <v>847</v>
      </c>
      <c r="C9" s="254">
        <f>IF(Application!$D$211="Special Needs",0.1,0.05)</f>
        <v>0.05</v>
      </c>
      <c r="E9" s="237">
        <f>-E8*$C$9</f>
        <v>-1125</v>
      </c>
      <c r="F9" s="237"/>
      <c r="G9" s="237">
        <f>-G8*$C$9</f>
        <v>-1153.1249999999998</v>
      </c>
      <c r="H9" s="237"/>
      <c r="I9" s="237">
        <f>-I8*$C$9</f>
        <v>-1181.9531249999998</v>
      </c>
      <c r="J9" s="237"/>
      <c r="K9" s="237">
        <f>-K8*$C$9</f>
        <v>-1211.5019531249995</v>
      </c>
      <c r="L9" s="237"/>
      <c r="M9" s="237">
        <f>-M8*$C$9</f>
        <v>-1241.7895019531243</v>
      </c>
      <c r="N9" s="237"/>
      <c r="O9" s="237">
        <f>-O8*$C$9</f>
        <v>-1272.8342395019524</v>
      </c>
      <c r="P9" s="237"/>
      <c r="Q9" s="237">
        <f>-Q8*$C$9</f>
        <v>-1304.655095489501</v>
      </c>
      <c r="R9" s="237"/>
      <c r="S9" s="237">
        <f>-S8*$C$9</f>
        <v>-1337.2714728767387</v>
      </c>
      <c r="T9" s="237"/>
      <c r="U9" s="237">
        <f>-U8*$C$9</f>
        <v>-1370.7032596986569</v>
      </c>
      <c r="V9" s="237"/>
      <c r="W9" s="237">
        <f>-W8*$C$9</f>
        <v>-1404.9708411911233</v>
      </c>
      <c r="X9" s="237"/>
      <c r="Y9" s="237">
        <f>-Y8*$C$9</f>
        <v>-1440.0951122209012</v>
      </c>
      <c r="Z9" s="237"/>
      <c r="AA9" s="237">
        <f>-AA8*$C$9</f>
        <v>-1476.0974900264237</v>
      </c>
      <c r="AB9" s="237"/>
      <c r="AC9" s="237">
        <f>-AC8*$C$9</f>
        <v>-1512.999927277084</v>
      </c>
      <c r="AD9" s="237"/>
      <c r="AE9" s="237">
        <f>-AE8*$C$9</f>
        <v>-1550.824925459011</v>
      </c>
      <c r="AF9" s="237"/>
      <c r="AG9" s="237">
        <f>-AG8*$C$9</f>
        <v>-1589.5955485954862</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2822662.8</v>
      </c>
      <c r="G11" s="239">
        <f>SUM(G4:G10)</f>
        <v>2893229.3699999996</v>
      </c>
      <c r="I11" s="239">
        <f>SUM(I4:I10)</f>
        <v>2965560.1042499994</v>
      </c>
      <c r="K11" s="239">
        <f>SUM(K4:K10)</f>
        <v>3039699.1068562488</v>
      </c>
      <c r="M11" s="239">
        <f>SUM(M4:M10)</f>
        <v>3115691.584527655</v>
      </c>
      <c r="O11" s="239">
        <f>SUM(O4:O10)</f>
        <v>3193583.8741408456</v>
      </c>
      <c r="Q11" s="239">
        <f>SUM(Q4:Q10)</f>
        <v>3273423.4709943668</v>
      </c>
      <c r="S11" s="239">
        <f>SUM(S4:S10)</f>
        <v>3355259.0577692254</v>
      </c>
      <c r="U11" s="239">
        <f>SUM(U4:U10)</f>
        <v>3439140.5342134559</v>
      </c>
      <c r="W11" s="239">
        <f>SUM(W4:W10)</f>
        <v>3525119.047568792</v>
      </c>
      <c r="Y11" s="239">
        <f>SUM(Y4:Y10)</f>
        <v>3613247.0237580109</v>
      </c>
      <c r="AA11" s="239">
        <f>SUM(AA4:AA10)</f>
        <v>3703578.1993519613</v>
      </c>
      <c r="AC11" s="239">
        <f>SUM(AC4:AC10)</f>
        <v>3796167.65433576</v>
      </c>
      <c r="AE11" s="239">
        <f>SUM(AE4:AE10)</f>
        <v>3891071.8456941536</v>
      </c>
      <c r="AG11" s="239">
        <f>SUM(AG4:AG10)</f>
        <v>3988348.6418365072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30599</v>
      </c>
      <c r="G15" s="235">
        <f>E15*$C$14</f>
        <v>31669.964999999997</v>
      </c>
      <c r="I15" s="235">
        <f>G15*$C$14</f>
        <v>32778.413774999994</v>
      </c>
      <c r="K15" s="235">
        <f>I15*$C$14</f>
        <v>33925.658257124989</v>
      </c>
      <c r="M15" s="235">
        <f>K15*$C$14</f>
        <v>35113.056296124363</v>
      </c>
      <c r="O15" s="235">
        <f>M15*$C$14</f>
        <v>36342.013266488713</v>
      </c>
      <c r="Q15" s="235">
        <f>O15*$C$14</f>
        <v>37613.983730815817</v>
      </c>
      <c r="S15" s="235">
        <f>Q15*$C$14</f>
        <v>38930.473161394366</v>
      </c>
      <c r="U15" s="235">
        <f>S15*$C$14</f>
        <v>40293.039722043162</v>
      </c>
      <c r="W15" s="235">
        <f>U15*$C$14</f>
        <v>41703.296112314667</v>
      </c>
      <c r="Y15" s="235">
        <f>W15*$C$14</f>
        <v>43162.911476245674</v>
      </c>
      <c r="AA15" s="235">
        <f>Y15*$C$14</f>
        <v>44673.613377914269</v>
      </c>
      <c r="AC15" s="235">
        <f>AA15*$C$14</f>
        <v>46237.189846141264</v>
      </c>
      <c r="AE15" s="235">
        <f>AC15*$C$14</f>
        <v>47855.491490756205</v>
      </c>
      <c r="AG15" s="235">
        <f>AE15*$C$14</f>
        <v>49530.433692932667</v>
      </c>
    </row>
    <row r="16" spans="1:34" s="225" customFormat="1" ht="14">
      <c r="A16" s="225" t="s">
        <v>344</v>
      </c>
      <c r="C16" s="249"/>
      <c r="E16" s="238">
        <f>Application!W849</f>
        <v>112000</v>
      </c>
      <c r="F16" s="238"/>
      <c r="G16" s="238">
        <f t="shared" ref="G16:AG21" si="0">E16*$C$14</f>
        <v>115919.99999999999</v>
      </c>
      <c r="H16" s="238"/>
      <c r="I16" s="238">
        <f t="shared" si="0"/>
        <v>119977.19999999998</v>
      </c>
      <c r="J16" s="238"/>
      <c r="K16" s="238">
        <f t="shared" si="0"/>
        <v>124176.40199999997</v>
      </c>
      <c r="L16" s="238"/>
      <c r="M16" s="238">
        <f t="shared" si="0"/>
        <v>128522.57606999997</v>
      </c>
      <c r="N16" s="238"/>
      <c r="O16" s="238">
        <f t="shared" si="0"/>
        <v>133020.86623244995</v>
      </c>
      <c r="P16" s="238"/>
      <c r="Q16" s="238">
        <f t="shared" si="0"/>
        <v>137676.59655058567</v>
      </c>
      <c r="R16" s="238"/>
      <c r="S16" s="238">
        <f t="shared" si="0"/>
        <v>142495.27742985616</v>
      </c>
      <c r="T16" s="238"/>
      <c r="U16" s="238">
        <f t="shared" si="0"/>
        <v>147482.61213990112</v>
      </c>
      <c r="V16" s="238"/>
      <c r="W16" s="238">
        <f t="shared" si="0"/>
        <v>152644.50356479763</v>
      </c>
      <c r="X16" s="238"/>
      <c r="Y16" s="238">
        <f t="shared" si="0"/>
        <v>157987.06118956555</v>
      </c>
      <c r="Z16" s="238"/>
      <c r="AA16" s="238">
        <f t="shared" si="0"/>
        <v>163516.60833120032</v>
      </c>
      <c r="AB16" s="238"/>
      <c r="AC16" s="238">
        <f t="shared" si="0"/>
        <v>169239.68962279233</v>
      </c>
      <c r="AD16" s="238"/>
      <c r="AE16" s="238">
        <f t="shared" si="0"/>
        <v>175163.07875959005</v>
      </c>
      <c r="AF16" s="238"/>
      <c r="AG16" s="238">
        <f t="shared" si="0"/>
        <v>181293.78651617569</v>
      </c>
    </row>
    <row r="17" spans="1:33" s="225" customFormat="1" ht="14">
      <c r="A17" s="225" t="s">
        <v>568</v>
      </c>
      <c r="C17" s="249"/>
      <c r="E17" s="238">
        <f>Application!W855</f>
        <v>258600</v>
      </c>
      <c r="F17" s="238"/>
      <c r="G17" s="238">
        <f t="shared" si="0"/>
        <v>267651</v>
      </c>
      <c r="H17" s="238"/>
      <c r="I17" s="238">
        <f t="shared" si="0"/>
        <v>277018.78499999997</v>
      </c>
      <c r="J17" s="238"/>
      <c r="K17" s="238">
        <f t="shared" si="0"/>
        <v>286714.44247499993</v>
      </c>
      <c r="L17" s="238"/>
      <c r="M17" s="238">
        <f t="shared" si="0"/>
        <v>296749.44796162489</v>
      </c>
      <c r="N17" s="238"/>
      <c r="O17" s="238">
        <f t="shared" si="0"/>
        <v>307135.67864028172</v>
      </c>
      <c r="P17" s="238"/>
      <c r="Q17" s="238">
        <f t="shared" si="0"/>
        <v>317885.42739269155</v>
      </c>
      <c r="R17" s="238"/>
      <c r="S17" s="238">
        <f t="shared" si="0"/>
        <v>329011.41735143575</v>
      </c>
      <c r="T17" s="238"/>
      <c r="U17" s="238">
        <f t="shared" si="0"/>
        <v>340526.81695873599</v>
      </c>
      <c r="V17" s="238"/>
      <c r="W17" s="238">
        <f t="shared" si="0"/>
        <v>352445.2555522917</v>
      </c>
      <c r="X17" s="238"/>
      <c r="Y17" s="238">
        <f t="shared" si="0"/>
        <v>364780.83949662186</v>
      </c>
      <c r="Z17" s="238"/>
      <c r="AA17" s="238">
        <f t="shared" si="0"/>
        <v>377548.16887900361</v>
      </c>
      <c r="AB17" s="238"/>
      <c r="AC17" s="238">
        <f t="shared" si="0"/>
        <v>390762.35478976869</v>
      </c>
      <c r="AD17" s="238"/>
      <c r="AE17" s="238">
        <f t="shared" si="0"/>
        <v>404439.03720741055</v>
      </c>
      <c r="AF17" s="238"/>
      <c r="AG17" s="238">
        <f t="shared" si="0"/>
        <v>418594.40350966988</v>
      </c>
    </row>
    <row r="18" spans="1:33" s="225" customFormat="1" ht="14">
      <c r="A18" s="225" t="s">
        <v>851</v>
      </c>
      <c r="C18" s="249"/>
      <c r="E18" s="238">
        <f>Application!W862</f>
        <v>166800</v>
      </c>
      <c r="F18" s="238"/>
      <c r="G18" s="238">
        <f t="shared" si="0"/>
        <v>172638</v>
      </c>
      <c r="H18" s="238"/>
      <c r="I18" s="238">
        <f t="shared" si="0"/>
        <v>178680.33</v>
      </c>
      <c r="J18" s="238"/>
      <c r="K18" s="238">
        <f t="shared" si="0"/>
        <v>184934.14154999997</v>
      </c>
      <c r="L18" s="238"/>
      <c r="M18" s="238">
        <f t="shared" si="0"/>
        <v>191406.83650424995</v>
      </c>
      <c r="N18" s="238"/>
      <c r="O18" s="238">
        <f t="shared" si="0"/>
        <v>198106.07578189869</v>
      </c>
      <c r="P18" s="238"/>
      <c r="Q18" s="238">
        <f t="shared" si="0"/>
        <v>205039.78843426512</v>
      </c>
      <c r="R18" s="238"/>
      <c r="S18" s="238">
        <f t="shared" si="0"/>
        <v>212216.18102946438</v>
      </c>
      <c r="T18" s="238"/>
      <c r="U18" s="238">
        <f t="shared" si="0"/>
        <v>219643.74736549563</v>
      </c>
      <c r="V18" s="238"/>
      <c r="W18" s="238">
        <f t="shared" si="0"/>
        <v>227331.27852328797</v>
      </c>
      <c r="X18" s="238"/>
      <c r="Y18" s="238">
        <f t="shared" si="0"/>
        <v>235287.87327160302</v>
      </c>
      <c r="Z18" s="238"/>
      <c r="AA18" s="238">
        <f t="shared" si="0"/>
        <v>243522.94883610911</v>
      </c>
      <c r="AB18" s="238"/>
      <c r="AC18" s="238">
        <f t="shared" si="0"/>
        <v>252046.25204537291</v>
      </c>
      <c r="AD18" s="238"/>
      <c r="AE18" s="238">
        <f t="shared" si="0"/>
        <v>260867.87086696093</v>
      </c>
      <c r="AF18" s="238"/>
      <c r="AG18" s="238">
        <f t="shared" si="0"/>
        <v>269998.24634730455</v>
      </c>
    </row>
    <row r="19" spans="1:33" s="225" customFormat="1" ht="14">
      <c r="A19" s="225" t="s">
        <v>155</v>
      </c>
      <c r="C19" s="249"/>
      <c r="E19" s="238">
        <f>Application!W863</f>
        <v>67500</v>
      </c>
      <c r="F19" s="238"/>
      <c r="G19" s="238">
        <f t="shared" si="0"/>
        <v>69862.5</v>
      </c>
      <c r="H19" s="238"/>
      <c r="I19" s="238">
        <f t="shared" si="0"/>
        <v>72307.6875</v>
      </c>
      <c r="J19" s="238"/>
      <c r="K19" s="238">
        <f t="shared" si="0"/>
        <v>74838.456562499996</v>
      </c>
      <c r="L19" s="238"/>
      <c r="M19" s="238">
        <f t="shared" si="0"/>
        <v>77457.802542187492</v>
      </c>
      <c r="N19" s="238"/>
      <c r="O19" s="238">
        <f t="shared" si="0"/>
        <v>80168.825631164043</v>
      </c>
      <c r="P19" s="238"/>
      <c r="Q19" s="238">
        <f t="shared" si="0"/>
        <v>82974.734528254776</v>
      </c>
      <c r="R19" s="238"/>
      <c r="S19" s="238">
        <f t="shared" si="0"/>
        <v>85878.850236743689</v>
      </c>
      <c r="T19" s="238"/>
      <c r="U19" s="238">
        <f t="shared" si="0"/>
        <v>88884.609995029707</v>
      </c>
      <c r="V19" s="238"/>
      <c r="W19" s="238">
        <f t="shared" si="0"/>
        <v>91995.571344855736</v>
      </c>
      <c r="X19" s="238"/>
      <c r="Y19" s="238">
        <f t="shared" si="0"/>
        <v>95215.41634192568</v>
      </c>
      <c r="Z19" s="238"/>
      <c r="AA19" s="238">
        <f t="shared" si="0"/>
        <v>98547.955913893078</v>
      </c>
      <c r="AB19" s="238"/>
      <c r="AC19" s="238">
        <f t="shared" si="0"/>
        <v>101997.13437087933</v>
      </c>
      <c r="AD19" s="238"/>
      <c r="AE19" s="238">
        <f t="shared" si="0"/>
        <v>105567.03407386009</v>
      </c>
      <c r="AF19" s="238"/>
      <c r="AG19" s="238">
        <f t="shared" si="0"/>
        <v>109261.88026644519</v>
      </c>
    </row>
    <row r="20" spans="1:33" s="225" customFormat="1" ht="14">
      <c r="A20" s="225" t="s">
        <v>390</v>
      </c>
      <c r="C20" s="249"/>
      <c r="E20" s="238">
        <f>Application!W872</f>
        <v>363200</v>
      </c>
      <c r="F20" s="238"/>
      <c r="G20" s="238">
        <f t="shared" si="0"/>
        <v>375912</v>
      </c>
      <c r="H20" s="238"/>
      <c r="I20" s="238">
        <f t="shared" si="0"/>
        <v>389068.92</v>
      </c>
      <c r="J20" s="238"/>
      <c r="K20" s="238">
        <f t="shared" si="0"/>
        <v>402686.33219999995</v>
      </c>
      <c r="L20" s="238"/>
      <c r="M20" s="238">
        <f t="shared" si="0"/>
        <v>416780.3538269999</v>
      </c>
      <c r="N20" s="238"/>
      <c r="O20" s="238">
        <f t="shared" si="0"/>
        <v>431367.66621094488</v>
      </c>
      <c r="P20" s="238"/>
      <c r="Q20" s="238">
        <f t="shared" si="0"/>
        <v>446465.53452832793</v>
      </c>
      <c r="R20" s="238"/>
      <c r="S20" s="238">
        <f t="shared" si="0"/>
        <v>462091.82823681936</v>
      </c>
      <c r="T20" s="238"/>
      <c r="U20" s="238">
        <f t="shared" si="0"/>
        <v>478265.04222510802</v>
      </c>
      <c r="V20" s="238"/>
      <c r="W20" s="238">
        <f t="shared" si="0"/>
        <v>495004.31870298675</v>
      </c>
      <c r="X20" s="238"/>
      <c r="Y20" s="238">
        <f t="shared" si="0"/>
        <v>512329.46985759126</v>
      </c>
      <c r="Z20" s="238"/>
      <c r="AA20" s="238">
        <f t="shared" si="0"/>
        <v>530261.00130260689</v>
      </c>
      <c r="AB20" s="238"/>
      <c r="AC20" s="238">
        <f t="shared" si="0"/>
        <v>548820.13634819805</v>
      </c>
      <c r="AD20" s="238"/>
      <c r="AE20" s="238">
        <f t="shared" si="0"/>
        <v>568028.84112038498</v>
      </c>
      <c r="AF20" s="238"/>
      <c r="AG20" s="238">
        <f t="shared" si="0"/>
        <v>587909.85055959842</v>
      </c>
    </row>
    <row r="21" spans="1:33" s="225" customFormat="1" ht="14">
      <c r="A21" s="242" t="s">
        <v>2730</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999849</v>
      </c>
      <c r="G22" s="239">
        <f>SUM(G15:G21)</f>
        <v>1034843.715</v>
      </c>
      <c r="I22" s="239">
        <f>SUM(I15:I21)</f>
        <v>1071063.2450249998</v>
      </c>
      <c r="K22" s="239">
        <f>SUM(K15:K21)</f>
        <v>1108550.4586008748</v>
      </c>
      <c r="M22" s="239">
        <f>SUM(M15:M21)</f>
        <v>1147349.7246519052</v>
      </c>
      <c r="O22" s="239">
        <f>SUM(O15:O21)</f>
        <v>1187506.9650147217</v>
      </c>
      <c r="Q22" s="239">
        <f>SUM(Q15:Q21)</f>
        <v>1229069.7087902369</v>
      </c>
      <c r="S22" s="239">
        <f>SUM(S15:S21)</f>
        <v>1272087.1485978952</v>
      </c>
      <c r="U22" s="239">
        <f>SUM(U15:U21)</f>
        <v>1316610.1987988215</v>
      </c>
      <c r="W22" s="239">
        <f>SUM(W15:W21)</f>
        <v>1362691.5557567801</v>
      </c>
      <c r="Y22" s="239">
        <f>SUM(Y15:Y21)</f>
        <v>1410385.7602082673</v>
      </c>
      <c r="AA22" s="239">
        <f>SUM(AA15:AA21)</f>
        <v>1459749.2618155566</v>
      </c>
      <c r="AC22" s="239">
        <f>SUM(AC15:AC21)</f>
        <v>1510840.4859791007</v>
      </c>
      <c r="AE22" s="239">
        <f>SUM(AE15:AE21)</f>
        <v>1563719.9029883693</v>
      </c>
      <c r="AG22" s="239">
        <f>SUM(AG15:AG21)</f>
        <v>1618450.0995929623</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1</v>
      </c>
      <c r="F24" s="238"/>
      <c r="G24" s="238">
        <v>1</v>
      </c>
      <c r="H24" s="238"/>
      <c r="I24" s="238">
        <v>1</v>
      </c>
      <c r="J24" s="238"/>
      <c r="K24" s="238">
        <v>1</v>
      </c>
      <c r="L24" s="238"/>
      <c r="M24" s="238">
        <v>1</v>
      </c>
      <c r="N24" s="238"/>
      <c r="O24" s="238">
        <v>1</v>
      </c>
      <c r="P24" s="238"/>
      <c r="Q24" s="238">
        <v>1</v>
      </c>
      <c r="R24" s="238"/>
      <c r="S24" s="238">
        <v>1</v>
      </c>
      <c r="T24" s="238"/>
      <c r="U24" s="238">
        <v>1</v>
      </c>
      <c r="V24" s="238"/>
      <c r="W24" s="238">
        <v>1</v>
      </c>
      <c r="X24" s="238"/>
      <c r="Y24" s="238">
        <v>1</v>
      </c>
      <c r="Z24" s="238"/>
      <c r="AA24" s="238">
        <v>1</v>
      </c>
      <c r="AB24" s="238"/>
      <c r="AC24" s="238">
        <v>1</v>
      </c>
      <c r="AD24" s="238"/>
      <c r="AE24" s="238">
        <v>1</v>
      </c>
      <c r="AF24" s="238"/>
      <c r="AG24" s="238">
        <v>1</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20000</v>
      </c>
      <c r="F27" s="238"/>
      <c r="G27" s="238">
        <f>E27*$C$27</f>
        <v>20700</v>
      </c>
      <c r="H27" s="238"/>
      <c r="I27" s="238">
        <f>G27*$C$27</f>
        <v>21424.5</v>
      </c>
      <c r="J27" s="238"/>
      <c r="K27" s="238">
        <f>I27*$C$27</f>
        <v>22174.357499999998</v>
      </c>
      <c r="L27" s="238"/>
      <c r="M27" s="238">
        <f>K27*$C$27</f>
        <v>22950.460012499996</v>
      </c>
      <c r="N27" s="238"/>
      <c r="O27" s="238">
        <f>M27*$C$27</f>
        <v>23753.726112937493</v>
      </c>
      <c r="P27" s="238"/>
      <c r="Q27" s="238">
        <f>O27*$C$27</f>
        <v>24585.106526890304</v>
      </c>
      <c r="R27" s="238"/>
      <c r="S27" s="238">
        <f>Q27*$C$27</f>
        <v>25445.585255331462</v>
      </c>
      <c r="T27" s="238"/>
      <c r="U27" s="238">
        <f>S27*$C$27</f>
        <v>26336.18073926806</v>
      </c>
      <c r="V27" s="238"/>
      <c r="W27" s="238">
        <f>U27*$C$27</f>
        <v>27257.947065142442</v>
      </c>
      <c r="X27" s="238"/>
      <c r="Y27" s="238">
        <f>W27*$C$27</f>
        <v>28211.975212422425</v>
      </c>
      <c r="Z27" s="238"/>
      <c r="AA27" s="238">
        <f>Y27*$C$27</f>
        <v>29199.394344857206</v>
      </c>
      <c r="AB27" s="238"/>
      <c r="AC27" s="238">
        <f>AA27*$C$27</f>
        <v>30221.373146927206</v>
      </c>
      <c r="AD27" s="238"/>
      <c r="AE27" s="238">
        <f>AC27*$C$27</f>
        <v>31279.121207069657</v>
      </c>
      <c r="AF27" s="238"/>
      <c r="AG27" s="238">
        <f>AE27*$C$27</f>
        <v>32373.890449317092</v>
      </c>
    </row>
    <row r="28" spans="1:33" s="225" customFormat="1" ht="14">
      <c r="A28" s="225" t="s">
        <v>855</v>
      </c>
      <c r="C28" s="253"/>
      <c r="E28" s="238">
        <f>Application!AC889</f>
        <v>75000</v>
      </c>
      <c r="F28" s="238"/>
      <c r="G28" s="238">
        <f>$E$28</f>
        <v>75000</v>
      </c>
      <c r="H28" s="238"/>
      <c r="I28" s="238">
        <f>$E$28</f>
        <v>75000</v>
      </c>
      <c r="J28" s="238"/>
      <c r="K28" s="238">
        <f>$E$28</f>
        <v>75000</v>
      </c>
      <c r="L28" s="238"/>
      <c r="M28" s="238">
        <f>$E$28</f>
        <v>75000</v>
      </c>
      <c r="N28" s="238"/>
      <c r="O28" s="238">
        <f>$E$28</f>
        <v>75000</v>
      </c>
      <c r="P28" s="238"/>
      <c r="Q28" s="238">
        <f>$E$28</f>
        <v>75000</v>
      </c>
      <c r="R28" s="238"/>
      <c r="S28" s="238">
        <f>$E$28</f>
        <v>75000</v>
      </c>
      <c r="T28" s="238"/>
      <c r="U28" s="238">
        <f>$E$28</f>
        <v>75000</v>
      </c>
      <c r="V28" s="238"/>
      <c r="W28" s="238">
        <f>$E$28</f>
        <v>75000</v>
      </c>
      <c r="X28" s="238"/>
      <c r="Y28" s="238">
        <f>$E$28</f>
        <v>75000</v>
      </c>
      <c r="Z28" s="238"/>
      <c r="AA28" s="238">
        <f>$E$28</f>
        <v>75000</v>
      </c>
      <c r="AB28" s="238"/>
      <c r="AC28" s="238">
        <f>$E$28</f>
        <v>75000</v>
      </c>
      <c r="AD28" s="238"/>
      <c r="AE28" s="238">
        <f>$E$28</f>
        <v>75000</v>
      </c>
      <c r="AF28" s="238"/>
      <c r="AG28" s="238">
        <f>$E$28</f>
        <v>75000</v>
      </c>
    </row>
    <row r="29" spans="1:33" s="225" customFormat="1" ht="14">
      <c r="A29" s="225" t="s">
        <v>1864</v>
      </c>
      <c r="C29" s="253">
        <v>1.0349999999999999</v>
      </c>
      <c r="E29" s="238">
        <f>Application!AC890</f>
        <v>20000</v>
      </c>
      <c r="F29" s="238"/>
      <c r="G29" s="238">
        <f>E29*$C$29</f>
        <v>20700</v>
      </c>
      <c r="H29" s="238"/>
      <c r="I29" s="238">
        <f>G29*$C$29</f>
        <v>21424.5</v>
      </c>
      <c r="J29" s="238"/>
      <c r="K29" s="238">
        <f>I29*$C$29</f>
        <v>22174.357499999998</v>
      </c>
      <c r="L29" s="238"/>
      <c r="M29" s="238">
        <f>K29*$C$29</f>
        <v>22950.460012499996</v>
      </c>
      <c r="N29" s="238"/>
      <c r="O29" s="238">
        <f>M29*$C$29</f>
        <v>23753.726112937493</v>
      </c>
      <c r="P29" s="238"/>
      <c r="Q29" s="238">
        <f>O29*$C$29</f>
        <v>24585.106526890304</v>
      </c>
      <c r="R29" s="238"/>
      <c r="S29" s="238">
        <f>Q29*$C$29</f>
        <v>25445.585255331462</v>
      </c>
      <c r="T29" s="238"/>
      <c r="U29" s="238">
        <f>S29*$C$29</f>
        <v>26336.18073926806</v>
      </c>
      <c r="V29" s="238"/>
      <c r="W29" s="238">
        <f>U29*$C$29</f>
        <v>27257.947065142442</v>
      </c>
      <c r="X29" s="238"/>
      <c r="Y29" s="238">
        <f>W29*$C$29</f>
        <v>28211.975212422425</v>
      </c>
      <c r="Z29" s="238"/>
      <c r="AA29" s="238">
        <f>Y29*$C$29</f>
        <v>29199.394344857206</v>
      </c>
      <c r="AB29" s="238"/>
      <c r="AC29" s="238">
        <f>AA29*$C$29</f>
        <v>30221.373146927206</v>
      </c>
      <c r="AD29" s="238"/>
      <c r="AE29" s="238">
        <f>AC29*$C$29</f>
        <v>31279.121207069657</v>
      </c>
      <c r="AF29" s="238"/>
      <c r="AG29" s="238">
        <f>AE29*$C$29</f>
        <v>32373.890449317092</v>
      </c>
    </row>
    <row r="30" spans="1:33" s="225" customFormat="1" ht="14">
      <c r="A30" s="225" t="s">
        <v>853</v>
      </c>
      <c r="C30" s="253">
        <v>1.02</v>
      </c>
      <c r="E30" s="238">
        <f>Application!AC891</f>
        <v>16650</v>
      </c>
      <c r="F30" s="238"/>
      <c r="G30" s="238">
        <f>E30*$C$30</f>
        <v>16983</v>
      </c>
      <c r="H30" s="238"/>
      <c r="I30" s="238">
        <f>G30*$C$30</f>
        <v>17322.66</v>
      </c>
      <c r="J30" s="238"/>
      <c r="K30" s="238">
        <f>I30*$C$30</f>
        <v>17669.1132</v>
      </c>
      <c r="L30" s="238"/>
      <c r="M30" s="238">
        <f>K30*$C$30</f>
        <v>18022.495464</v>
      </c>
      <c r="N30" s="238"/>
      <c r="O30" s="238">
        <f>M30*$C$30</f>
        <v>18382.945373279999</v>
      </c>
      <c r="P30" s="238"/>
      <c r="Q30" s="238">
        <f>O30*$C$30</f>
        <v>18750.6042807456</v>
      </c>
      <c r="R30" s="238"/>
      <c r="S30" s="238">
        <f>Q30*$C$30</f>
        <v>19125.616366360511</v>
      </c>
      <c r="T30" s="238"/>
      <c r="U30" s="238">
        <f>S30*$C$30</f>
        <v>19508.128693687722</v>
      </c>
      <c r="V30" s="238"/>
      <c r="W30" s="238">
        <f>U30*$C$30</f>
        <v>19898.291267561475</v>
      </c>
      <c r="X30" s="238"/>
      <c r="Y30" s="238">
        <f>W30*$C$30</f>
        <v>20296.257092912707</v>
      </c>
      <c r="Z30" s="238"/>
      <c r="AA30" s="238">
        <f>Y30*$C$30</f>
        <v>20702.18223477096</v>
      </c>
      <c r="AB30" s="238"/>
      <c r="AC30" s="238">
        <f>AA30*$C$30</f>
        <v>21116.225879466379</v>
      </c>
      <c r="AD30" s="238"/>
      <c r="AE30" s="238">
        <f>AC30*$C$30</f>
        <v>21538.550397055707</v>
      </c>
      <c r="AF30" s="238"/>
      <c r="AG30" s="238">
        <f>AE30*$C$30</f>
        <v>21969.321404996823</v>
      </c>
    </row>
    <row r="31" spans="1:33" s="225" customFormat="1" ht="14">
      <c r="A31" s="225" t="s">
        <v>1865</v>
      </c>
      <c r="C31" s="253">
        <v>1.02</v>
      </c>
      <c r="E31" s="238">
        <f>Application!AC892</f>
        <v>146000</v>
      </c>
      <c r="F31" s="238"/>
      <c r="G31" s="238">
        <f>E31*$C$31</f>
        <v>148920</v>
      </c>
      <c r="H31" s="238"/>
      <c r="I31" s="238">
        <f>G31*$C$31</f>
        <v>151898.4</v>
      </c>
      <c r="J31" s="238"/>
      <c r="K31" s="238">
        <f>I31*$C$31</f>
        <v>154936.36799999999</v>
      </c>
      <c r="L31" s="238"/>
      <c r="M31" s="238">
        <f>K31*$C$31</f>
        <v>158035.09535999998</v>
      </c>
      <c r="N31" s="238"/>
      <c r="O31" s="238">
        <f>M31*$C$31</f>
        <v>161195.79726719999</v>
      </c>
      <c r="P31" s="238"/>
      <c r="Q31" s="238">
        <f>O31*$C$31</f>
        <v>164419.71321254398</v>
      </c>
      <c r="R31" s="238"/>
      <c r="S31" s="238">
        <f>Q31*$C$31</f>
        <v>167708.10747679486</v>
      </c>
      <c r="T31" s="238"/>
      <c r="U31" s="238">
        <f>S31*$C$31</f>
        <v>171062.26962633076</v>
      </c>
      <c r="V31" s="238"/>
      <c r="W31" s="238">
        <f>U31*$C$31</f>
        <v>174483.51501885738</v>
      </c>
      <c r="X31" s="238"/>
      <c r="Y31" s="238">
        <f>W31*$C$31</f>
        <v>177973.18531923453</v>
      </c>
      <c r="Z31" s="238"/>
      <c r="AA31" s="238">
        <f>Y31*$C$31</f>
        <v>181532.64902561923</v>
      </c>
      <c r="AB31" s="238"/>
      <c r="AC31" s="238">
        <f>AA31*$C$31</f>
        <v>185163.30200613162</v>
      </c>
      <c r="AD31" s="238"/>
      <c r="AE31" s="238">
        <f>AC31*$C$31</f>
        <v>188866.56804625425</v>
      </c>
      <c r="AF31" s="238"/>
      <c r="AG31" s="238">
        <f>AE31*$C$31</f>
        <v>192643.89940717933</v>
      </c>
    </row>
    <row r="32" spans="1:33" s="225" customFormat="1" ht="14">
      <c r="A32" s="225" t="str">
        <f>Application!C893</f>
        <v>Annual Issuer &amp; Trustee Fees:</v>
      </c>
      <c r="C32" s="340">
        <v>1.0349999999999999</v>
      </c>
      <c r="E32" s="238">
        <f>Application!AC893</f>
        <v>12500</v>
      </c>
      <c r="F32" s="238"/>
      <c r="G32" s="238">
        <f>E32*$C$32</f>
        <v>12937.499999999998</v>
      </c>
      <c r="H32" s="238"/>
      <c r="I32" s="238">
        <f>G32*$C$32</f>
        <v>13390.312499999996</v>
      </c>
      <c r="J32" s="238"/>
      <c r="K32" s="238">
        <f>I32*$C$32</f>
        <v>13858.973437499995</v>
      </c>
      <c r="L32" s="238"/>
      <c r="M32" s="238">
        <f>K32*$C$32</f>
        <v>14344.037507812494</v>
      </c>
      <c r="N32" s="238"/>
      <c r="O32" s="238">
        <f>M32*$C$32</f>
        <v>14846.07882058593</v>
      </c>
      <c r="P32" s="238"/>
      <c r="Q32" s="238">
        <f>O32*$C$32</f>
        <v>15365.691579306436</v>
      </c>
      <c r="R32" s="238"/>
      <c r="S32" s="238">
        <f>Q32*$C$32</f>
        <v>15903.49078458216</v>
      </c>
      <c r="T32" s="238"/>
      <c r="U32" s="238">
        <f>S32*$C$32</f>
        <v>16460.112962042534</v>
      </c>
      <c r="V32" s="238"/>
      <c r="W32" s="238">
        <f>U32*$C$32</f>
        <v>17036.216915714023</v>
      </c>
      <c r="X32" s="238"/>
      <c r="Y32" s="238">
        <f>W32*$C$32</f>
        <v>17632.484507764013</v>
      </c>
      <c r="Z32" s="238"/>
      <c r="AA32" s="238">
        <f>Y32*$C$32</f>
        <v>18249.621465535751</v>
      </c>
      <c r="AB32" s="238"/>
      <c r="AC32" s="238">
        <f>AA32*$C$32</f>
        <v>18888.3582168295</v>
      </c>
      <c r="AD32" s="238"/>
      <c r="AE32" s="238">
        <f>AC32*$C$32</f>
        <v>19549.450754418529</v>
      </c>
      <c r="AF32" s="238"/>
      <c r="AG32" s="238">
        <f>AE32*$C$32</f>
        <v>20233.681530823174</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1290000</v>
      </c>
      <c r="G35" s="239">
        <f>SUM(G22:G33)</f>
        <v>1330085.2149999999</v>
      </c>
      <c r="I35" s="239">
        <f>SUM(I22:I33)</f>
        <v>1371524.6175249997</v>
      </c>
      <c r="K35" s="239">
        <f>SUM(K22:K33)</f>
        <v>1414364.6282383746</v>
      </c>
      <c r="M35" s="239">
        <f>SUM(M22:M33)</f>
        <v>1458653.2730087175</v>
      </c>
      <c r="O35" s="239">
        <f>SUM(O22:O33)</f>
        <v>1504440.2387016627</v>
      </c>
      <c r="Q35" s="239">
        <f>SUM(Q22:Q33)</f>
        <v>1551776.9309166134</v>
      </c>
      <c r="S35" s="239">
        <f>SUM(S22:S33)</f>
        <v>1600716.5337362955</v>
      </c>
      <c r="U35" s="239">
        <f>SUM(U22:U33)</f>
        <v>1651314.0715594185</v>
      </c>
      <c r="W35" s="239">
        <f>SUM(W22:W33)</f>
        <v>1703626.4730891979</v>
      </c>
      <c r="Y35" s="239">
        <f>SUM(Y22:Y33)</f>
        <v>1757712.6375530234</v>
      </c>
      <c r="AA35" s="239">
        <f>SUM(AA22:AA33)</f>
        <v>1813633.5032311969</v>
      </c>
      <c r="AC35" s="239">
        <f>SUM(AC22:AC33)</f>
        <v>1871452.1183753829</v>
      </c>
      <c r="AE35" s="239">
        <f>SUM(AE22:AE33)</f>
        <v>1931233.7146002371</v>
      </c>
      <c r="AG35" s="239">
        <f>SUM(AG22:AG33)</f>
        <v>1993045.782834596</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1532662.7999999998</v>
      </c>
      <c r="G37" s="239">
        <f>G11-G35</f>
        <v>1563144.1549999998</v>
      </c>
      <c r="I37" s="239">
        <f>I11-I35</f>
        <v>1594035.4867249997</v>
      </c>
      <c r="K37" s="239">
        <f>K11-K35</f>
        <v>1625334.4786178742</v>
      </c>
      <c r="M37" s="239">
        <f>M11-M35</f>
        <v>1657038.3115189376</v>
      </c>
      <c r="O37" s="239">
        <f>O11-O35</f>
        <v>1689143.6354391829</v>
      </c>
      <c r="Q37" s="239">
        <f>Q11-Q35</f>
        <v>1721646.5400777534</v>
      </c>
      <c r="S37" s="239">
        <f>S11-S35</f>
        <v>1754542.5240329299</v>
      </c>
      <c r="U37" s="239">
        <f>U11-U35</f>
        <v>1787826.4626540374</v>
      </c>
      <c r="W37" s="239">
        <f>W11-W35</f>
        <v>1821492.5744795941</v>
      </c>
      <c r="Y37" s="239">
        <f>Y11-Y35</f>
        <v>1855534.3862049875</v>
      </c>
      <c r="AA37" s="239">
        <f>AA11-AA35</f>
        <v>1889944.6961207644</v>
      </c>
      <c r="AC37" s="239">
        <f>AC11-AC35</f>
        <v>1924715.5359603772</v>
      </c>
      <c r="AE37" s="239">
        <f>AE11-AE35</f>
        <v>1959838.1310939165</v>
      </c>
      <c r="AG37" s="239">
        <f>AG11-AG35</f>
        <v>1995302.8590019112</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1162056</v>
      </c>
      <c r="F40" s="238"/>
      <c r="G40" s="238">
        <f>$E$40</f>
        <v>1162056</v>
      </c>
      <c r="H40" s="238"/>
      <c r="I40" s="238">
        <f>$E$40</f>
        <v>1162056</v>
      </c>
      <c r="J40" s="238"/>
      <c r="K40" s="238">
        <f>$E$40</f>
        <v>1162056</v>
      </c>
      <c r="L40" s="238"/>
      <c r="M40" s="238">
        <f>$E$40</f>
        <v>1162056</v>
      </c>
      <c r="N40" s="238"/>
      <c r="O40" s="238">
        <f>$E$40</f>
        <v>1162056</v>
      </c>
      <c r="P40" s="238"/>
      <c r="Q40" s="238">
        <f>$E$40</f>
        <v>1162056</v>
      </c>
      <c r="R40" s="238"/>
      <c r="S40" s="238">
        <f>$E$40</f>
        <v>1162056</v>
      </c>
      <c r="T40" s="238"/>
      <c r="U40" s="238">
        <f>$E$40</f>
        <v>1162056</v>
      </c>
      <c r="V40" s="238"/>
      <c r="W40" s="238">
        <f>$E$40</f>
        <v>1162056</v>
      </c>
      <c r="X40" s="238"/>
      <c r="Y40" s="238">
        <f>$E$40</f>
        <v>1162056</v>
      </c>
      <c r="Z40" s="238"/>
      <c r="AA40" s="238">
        <f>$E$40</f>
        <v>1162056</v>
      </c>
      <c r="AB40" s="238"/>
      <c r="AC40" s="238">
        <f>$E$40</f>
        <v>1162056</v>
      </c>
      <c r="AD40" s="238"/>
      <c r="AE40" s="238">
        <f>$E$40</f>
        <v>1162056</v>
      </c>
      <c r="AF40" s="238"/>
      <c r="AG40" s="238">
        <f>$E$40</f>
        <v>1162056</v>
      </c>
    </row>
    <row r="41" spans="1:33" s="225" customFormat="1" ht="14">
      <c r="A41" s="241" t="s">
        <v>2788</v>
      </c>
      <c r="B41" s="242"/>
      <c r="C41" s="236"/>
      <c r="E41" s="238">
        <v>116815</v>
      </c>
      <c r="F41" s="238"/>
      <c r="G41" s="238">
        <f>$E$41</f>
        <v>116815</v>
      </c>
      <c r="H41" s="238"/>
      <c r="I41" s="238">
        <f>$E$41</f>
        <v>116815</v>
      </c>
      <c r="J41" s="238"/>
      <c r="K41" s="238">
        <f>$E$41</f>
        <v>116815</v>
      </c>
      <c r="L41" s="238"/>
      <c r="M41" s="238">
        <f>$E$41</f>
        <v>116815</v>
      </c>
      <c r="N41" s="238"/>
      <c r="O41" s="238">
        <f>$E$41</f>
        <v>116815</v>
      </c>
      <c r="P41" s="238"/>
      <c r="Q41" s="238">
        <f>$E$41</f>
        <v>116815</v>
      </c>
      <c r="R41" s="238"/>
      <c r="S41" s="238">
        <f>$E$41</f>
        <v>116815</v>
      </c>
      <c r="T41" s="238"/>
      <c r="U41" s="238">
        <f>$E$41</f>
        <v>116815</v>
      </c>
      <c r="V41" s="238"/>
      <c r="W41" s="238">
        <f>$E$41</f>
        <v>116815</v>
      </c>
      <c r="X41" s="238"/>
      <c r="Y41" s="238">
        <f>$E$41</f>
        <v>116815</v>
      </c>
      <c r="Z41" s="238"/>
      <c r="AA41" s="238">
        <f>$E$41</f>
        <v>116815</v>
      </c>
      <c r="AB41" s="238"/>
      <c r="AC41" s="238">
        <f>$E$41</f>
        <v>116815</v>
      </c>
      <c r="AD41" s="238"/>
      <c r="AE41" s="238">
        <f>$E$41</f>
        <v>116815</v>
      </c>
      <c r="AF41" s="238"/>
      <c r="AG41" s="238">
        <f>$E$41</f>
        <v>116815</v>
      </c>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1278871</v>
      </c>
      <c r="G43" s="239">
        <f>SUM(G40:G42)</f>
        <v>1278871</v>
      </c>
      <c r="I43" s="239">
        <f>SUM(I40:I42)</f>
        <v>1278871</v>
      </c>
      <c r="K43" s="239">
        <f>SUM(K40:K42)</f>
        <v>1278871</v>
      </c>
      <c r="M43" s="239">
        <f>SUM(M40:M42)</f>
        <v>1278871</v>
      </c>
      <c r="O43" s="239">
        <f>SUM(O40:O42)</f>
        <v>1278871</v>
      </c>
      <c r="Q43" s="239">
        <f>SUM(Q40:Q42)</f>
        <v>1278871</v>
      </c>
      <c r="S43" s="239">
        <f>SUM(S40:S42)</f>
        <v>1278871</v>
      </c>
      <c r="U43" s="239">
        <f>SUM(U40:U42)</f>
        <v>1278871</v>
      </c>
      <c r="W43" s="239">
        <f>SUM(W40:W42)</f>
        <v>1278871</v>
      </c>
      <c r="Y43" s="239">
        <f>SUM(Y40:Y42)</f>
        <v>1278871</v>
      </c>
      <c r="AA43" s="239">
        <f>SUM(AA40:AA42)</f>
        <v>1278871</v>
      </c>
      <c r="AC43" s="239">
        <f>SUM(AC40:AC42)</f>
        <v>1278871</v>
      </c>
      <c r="AE43" s="239">
        <f>SUM(AE40:AE42)</f>
        <v>1278871</v>
      </c>
      <c r="AG43" s="239">
        <f>SUM(AG40:AG42)</f>
        <v>1278871</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253791.79999999981</v>
      </c>
      <c r="G45" s="239">
        <f>G37-G43</f>
        <v>284273.1549999998</v>
      </c>
      <c r="I45" s="239">
        <f>I37-I43</f>
        <v>315164.48672499973</v>
      </c>
      <c r="K45" s="239">
        <f>K37-K43</f>
        <v>346463.47861787421</v>
      </c>
      <c r="M45" s="239">
        <f>M37-M43</f>
        <v>378167.31151893758</v>
      </c>
      <c r="O45" s="239">
        <f>O37-O43</f>
        <v>410272.63543918286</v>
      </c>
      <c r="Q45" s="239">
        <f>Q37-Q43</f>
        <v>442775.54007775337</v>
      </c>
      <c r="S45" s="239">
        <f>S37-S43</f>
        <v>475671.52403292991</v>
      </c>
      <c r="U45" s="239">
        <f>U37-U43</f>
        <v>508955.4626540374</v>
      </c>
      <c r="W45" s="239">
        <f>W37-W43</f>
        <v>542621.57447959413</v>
      </c>
      <c r="Y45" s="239">
        <f>Y37-Y43</f>
        <v>576663.38620498753</v>
      </c>
      <c r="AA45" s="239">
        <f>AA37-AA43</f>
        <v>611073.69612076436</v>
      </c>
      <c r="AC45" s="239">
        <f>AC37-AC43</f>
        <v>645844.53596037719</v>
      </c>
      <c r="AE45" s="239">
        <f>AE37-AE43</f>
        <v>680967.13109391648</v>
      </c>
      <c r="AG45" s="239">
        <f>AG37-AG43</f>
        <v>716431.85900191125</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8.5416582526258472E-2</v>
      </c>
      <c r="G47" s="243">
        <f>G45/(G4+G6+G8)</f>
        <v>9.3341889879266587E-2</v>
      </c>
      <c r="I47" s="243">
        <f>I45/(I4+I6+I8)</f>
        <v>0.10096111758438653</v>
      </c>
      <c r="K47" s="243">
        <f>K45/(K4+K6+K8)</f>
        <v>0.10828055446165118</v>
      </c>
      <c r="M47" s="243">
        <f>M45/(M4+M6+M8)</f>
        <v>0.11530632483877735</v>
      </c>
      <c r="O47" s="243">
        <f>O45/(O4+O6+O8)</f>
        <v>0.12204439245300194</v>
      </c>
      <c r="Q47" s="243">
        <f>Q45/(Q4+Q6+Q8)</f>
        <v>0.12850056425668904</v>
      </c>
      <c r="S47" s="243">
        <f>S45/(S4+S6+S8)</f>
        <v>0.1346804941290361</v>
      </c>
      <c r="U47" s="243">
        <f>U45/(U4+U6+U8)</f>
        <v>0.1405896864961686</v>
      </c>
      <c r="W47" s="243">
        <f>W45/(W4+W6+W8)</f>
        <v>0.14623349986183828</v>
      </c>
      <c r="Y47" s="243">
        <f>Y45/(Y4+Y6+Y8)</f>
        <v>0.1516171502509007</v>
      </c>
      <c r="AA47" s="243">
        <f>AA45/(AA4+AA6+AA8)</f>
        <v>0.15674571456768577</v>
      </c>
      <c r="AC47" s="243">
        <f>AC45/(AC4+AC6+AC8)</f>
        <v>0.16162413387132543</v>
      </c>
      <c r="AE47" s="243">
        <f>AE45/(AE4+AE6+AE8)</f>
        <v>0.16625721657005607</v>
      </c>
      <c r="AG47" s="243">
        <f>AG45/(AG4+AG6+AG8)</f>
        <v>0.17064964153645715</v>
      </c>
    </row>
    <row r="48" spans="1:33" s="243" customFormat="1" ht="14">
      <c r="A48" s="243" t="s">
        <v>861</v>
      </c>
      <c r="C48" s="236"/>
      <c r="E48" s="243">
        <f>E45/E43</f>
        <v>0.19844988274814254</v>
      </c>
      <c r="G48" s="243">
        <f>G45/G43</f>
        <v>0.22228446418755277</v>
      </c>
      <c r="I48" s="243">
        <f>I45/I43</f>
        <v>0.24643962270236774</v>
      </c>
      <c r="K48" s="243">
        <f>K45/K43</f>
        <v>0.27091354688461478</v>
      </c>
      <c r="M48" s="243">
        <f>M45/M43</f>
        <v>0.2957040323214285</v>
      </c>
      <c r="O48" s="243">
        <f>O45/O43</f>
        <v>0.32080845952342563</v>
      </c>
      <c r="Q48" s="243">
        <f>Q45/Q43</f>
        <v>0.34622377087114603</v>
      </c>
      <c r="S48" s="243">
        <f>S45/S43</f>
        <v>0.37194644653990117</v>
      </c>
      <c r="U48" s="243">
        <f>U45/U43</f>
        <v>0.39797247936190389</v>
      </c>
      <c r="W48" s="243">
        <f>W45/W43</f>
        <v>0.42429734858292517</v>
      </c>
      <c r="Y48" s="243">
        <f>Y45/Y43</f>
        <v>0.45091599246912906</v>
      </c>
      <c r="AA48" s="243">
        <f>AA45/AA43</f>
        <v>0.47782277971802034</v>
      </c>
      <c r="AC48" s="243">
        <f>AC45/AC43</f>
        <v>0.50501147962568327</v>
      </c>
      <c r="AE48" s="243">
        <f>AE45/AE43</f>
        <v>0.5324752309606805</v>
      </c>
      <c r="AG48" s="243">
        <f>AG45/AG43</f>
        <v>0.56020650949306949</v>
      </c>
    </row>
    <row r="49" spans="1:35" s="244" customFormat="1" ht="14">
      <c r="A49" s="244" t="s">
        <v>859</v>
      </c>
      <c r="C49" s="245"/>
      <c r="E49" s="244">
        <f>E37/E43</f>
        <v>1.1984498827481425</v>
      </c>
      <c r="G49" s="244">
        <f>G37/G43</f>
        <v>1.2222844641875528</v>
      </c>
      <c r="I49" s="244">
        <f>I37/I43</f>
        <v>1.2464396227023677</v>
      </c>
      <c r="K49" s="244">
        <f>K37/K43</f>
        <v>1.2709135468846149</v>
      </c>
      <c r="M49" s="244">
        <f>M37/M43</f>
        <v>1.2957040323214284</v>
      </c>
      <c r="O49" s="244">
        <f>O37/O43</f>
        <v>1.3208084595234257</v>
      </c>
      <c r="Q49" s="244">
        <f>Q37/Q43</f>
        <v>1.346223770871146</v>
      </c>
      <c r="S49" s="244">
        <f>S37/S43</f>
        <v>1.3719464465399012</v>
      </c>
      <c r="U49" s="244">
        <f>U37/U43</f>
        <v>1.3979724793619039</v>
      </c>
      <c r="W49" s="244">
        <f>W37/W43</f>
        <v>1.4242973485829251</v>
      </c>
      <c r="Y49" s="244">
        <f>Y37/Y43</f>
        <v>1.4509159924691291</v>
      </c>
      <c r="AA49" s="244">
        <f>AA37/AA43</f>
        <v>1.4778227797180203</v>
      </c>
      <c r="AC49" s="244">
        <f>AC37/AC43</f>
        <v>1.5050114796256833</v>
      </c>
      <c r="AE49" s="244">
        <f>AE37/AE43</f>
        <v>1.5324752309606806</v>
      </c>
      <c r="AG49" s="244">
        <f>AG37/AG43</f>
        <v>1.5602065094930695</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2735</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15000</v>
      </c>
      <c r="G53" s="995">
        <f>E53*$C$53</f>
        <v>15000</v>
      </c>
      <c r="I53" s="995">
        <f>G53*$C$53</f>
        <v>15000</v>
      </c>
      <c r="K53" s="995">
        <f>I53*$C$53</f>
        <v>15000</v>
      </c>
      <c r="M53" s="995">
        <f>K53*$C$53</f>
        <v>15000</v>
      </c>
      <c r="O53" s="995">
        <f>M53*$C$53</f>
        <v>15000</v>
      </c>
      <c r="Q53" s="995">
        <f>O53*$C$53</f>
        <v>15000</v>
      </c>
      <c r="S53" s="995">
        <f>Q53*$C$53</f>
        <v>15000</v>
      </c>
      <c r="U53" s="995">
        <f>S53*$C$53</f>
        <v>15000</v>
      </c>
      <c r="W53" s="995">
        <f>U53*$C$53</f>
        <v>15000</v>
      </c>
      <c r="Y53" s="995">
        <f>W53*$C$53</f>
        <v>15000</v>
      </c>
      <c r="AA53" s="995">
        <f>Y53*$C$53</f>
        <v>15000</v>
      </c>
      <c r="AC53" s="995">
        <f>AA53*$C$53</f>
        <v>15000</v>
      </c>
      <c r="AE53" s="995">
        <f>AC53*$C$53</f>
        <v>15000</v>
      </c>
      <c r="AG53" s="995">
        <f>AE53*$C$53</f>
        <v>15000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22500</v>
      </c>
      <c r="F58" s="995"/>
      <c r="G58" s="995">
        <f>SUM(G53:G57)</f>
        <v>22500</v>
      </c>
      <c r="H58" s="995"/>
      <c r="I58" s="995">
        <f>SUM(I53:I57)</f>
        <v>22500</v>
      </c>
      <c r="J58" s="995"/>
      <c r="K58" s="995">
        <f>SUM(K53:K57)</f>
        <v>22500</v>
      </c>
      <c r="L58" s="995"/>
      <c r="M58" s="995">
        <f>SUM(M53:M57)</f>
        <v>22500</v>
      </c>
      <c r="N58" s="995"/>
      <c r="O58" s="995">
        <f>SUM(O53:O57)</f>
        <v>22500</v>
      </c>
      <c r="P58" s="995"/>
      <c r="Q58" s="995">
        <f>SUM(Q53:Q57)</f>
        <v>22500</v>
      </c>
      <c r="R58" s="995"/>
      <c r="S58" s="995">
        <f>SUM(S53:S57)</f>
        <v>22500</v>
      </c>
      <c r="T58" s="995"/>
      <c r="U58" s="995">
        <f>SUM(U53:U57)</f>
        <v>22500</v>
      </c>
      <c r="V58" s="995"/>
      <c r="W58" s="995">
        <f>SUM(W53:W57)</f>
        <v>22500</v>
      </c>
      <c r="X58" s="995"/>
      <c r="Y58" s="995">
        <f>SUM(Y53:Y57)</f>
        <v>22500</v>
      </c>
      <c r="Z58" s="995"/>
      <c r="AA58" s="995">
        <f>SUM(AA53:AA57)</f>
        <v>22500</v>
      </c>
      <c r="AB58" s="995"/>
      <c r="AC58" s="995">
        <f>SUM(AC53:AC57)</f>
        <v>22500</v>
      </c>
      <c r="AD58" s="995"/>
      <c r="AE58" s="995">
        <f>SUM(AE53:AE57)</f>
        <v>22500</v>
      </c>
      <c r="AF58" s="995"/>
      <c r="AG58" s="995">
        <f>SUM(AG53:AG57)</f>
        <v>22500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231291.79999999981</v>
      </c>
      <c r="G60" s="997">
        <f>G45-G58</f>
        <v>261773.1549999998</v>
      </c>
      <c r="I60" s="997">
        <f>I45-I58</f>
        <v>292664.48672499973</v>
      </c>
      <c r="K60" s="997">
        <f>K45-K58</f>
        <v>323963.47861787421</v>
      </c>
      <c r="M60" s="997">
        <f>M45-M58</f>
        <v>355667.31151893758</v>
      </c>
      <c r="O60" s="997">
        <f>O45-O58</f>
        <v>387772.63543918286</v>
      </c>
      <c r="Q60" s="997">
        <f>Q45-Q58</f>
        <v>420275.54007775337</v>
      </c>
      <c r="S60" s="997">
        <f>S45-S58</f>
        <v>453171.52403292991</v>
      </c>
      <c r="U60" s="997">
        <f>U45-U58</f>
        <v>486455.4626540374</v>
      </c>
      <c r="W60" s="997">
        <f>W45-W58</f>
        <v>520121.57447959413</v>
      </c>
      <c r="Y60" s="997">
        <f>Y45-Y58</f>
        <v>554163.38620498753</v>
      </c>
      <c r="AA60" s="997">
        <f>AA45-AA58</f>
        <v>588573.69612076436</v>
      </c>
      <c r="AC60" s="997">
        <f>AC45-AC58</f>
        <v>623344.53596037719</v>
      </c>
      <c r="AE60" s="997">
        <f>AE45-AE58</f>
        <v>658467.13109391648</v>
      </c>
      <c r="AG60" s="997">
        <f>AG45-AG58</f>
        <v>693931.85900191125</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1</v>
      </c>
      <c r="E62" s="999">
        <f>E60*$C$62</f>
        <v>231291.79999999981</v>
      </c>
      <c r="G62" s="997">
        <f>G60*$C$62</f>
        <v>261773.1549999998</v>
      </c>
      <c r="I62" s="997">
        <f>I60*$C$62</f>
        <v>292664.48672499973</v>
      </c>
      <c r="K62" s="997">
        <f>K60*$C$62</f>
        <v>323963.47861787421</v>
      </c>
      <c r="M62" s="997">
        <f>M60*$C$62</f>
        <v>355667.31151893758</v>
      </c>
      <c r="O62" s="997">
        <f>O60*$C$62</f>
        <v>387772.63543918286</v>
      </c>
      <c r="Q62" s="997">
        <f>Q60*$C$62</f>
        <v>420275.54007775337</v>
      </c>
      <c r="S62" s="997">
        <f>S60*$C$62</f>
        <v>453171.52403292991</v>
      </c>
      <c r="U62" s="997">
        <f>U60*$C$62</f>
        <v>486455.4626540374</v>
      </c>
      <c r="W62" s="997">
        <f>W60*$C$62</f>
        <v>520121.57447959413</v>
      </c>
      <c r="Y62" s="997">
        <f>Y60*$C$62</f>
        <v>554163.38620498753</v>
      </c>
      <c r="AA62" s="997">
        <f>AA60*$C$62</f>
        <v>588573.69612076436</v>
      </c>
      <c r="AC62" s="997">
        <f>AC60*$C$62</f>
        <v>623344.53596037719</v>
      </c>
      <c r="AE62" s="997">
        <f>AE60*$C$62</f>
        <v>658467.13109391648</v>
      </c>
      <c r="AG62" s="997">
        <f>AG60*$C$62</f>
        <v>693931.85900191125</v>
      </c>
    </row>
    <row r="63" spans="1:35" s="997" customFormat="1">
      <c r="A63" s="2675" t="s">
        <v>2736</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2789</v>
      </c>
      <c r="B66" s="999"/>
      <c r="C66" s="998"/>
      <c r="E66" s="999"/>
      <c r="G66" s="995"/>
      <c r="I66" s="995"/>
      <c r="K66" s="995"/>
      <c r="M66" s="995"/>
      <c r="O66" s="995"/>
      <c r="Q66" s="995"/>
      <c r="S66" s="995"/>
      <c r="U66" s="995"/>
      <c r="W66" s="995"/>
      <c r="Y66" s="995"/>
      <c r="AA66" s="995"/>
      <c r="AC66" s="995"/>
      <c r="AE66" s="995"/>
      <c r="AG66" s="995"/>
    </row>
    <row r="67" spans="1:35" s="995" customFormat="1">
      <c r="A67" s="1000" t="s">
        <v>2769</v>
      </c>
      <c r="B67" s="1000"/>
      <c r="C67" s="1005"/>
      <c r="E67" s="999"/>
    </row>
    <row r="68" spans="1:35" s="995" customFormat="1">
      <c r="A68" s="1000" t="s">
        <v>2770</v>
      </c>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8250000</v>
      </c>
      <c r="C5" s="286">
        <f>'Sources and Uses Budget'!$C4</f>
        <v>8250000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8250000</v>
      </c>
      <c r="C9" s="290">
        <f>SUM(C5:C8)</f>
        <v>8250000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239602</v>
      </c>
      <c r="C11" s="286">
        <f>'Sources and Uses Budget'!$C10</f>
        <v>239602</v>
      </c>
      <c r="D11" s="290">
        <f t="shared" si="0"/>
        <v>0</v>
      </c>
      <c r="E11" s="288"/>
      <c r="F11" s="287"/>
      <c r="G11" s="383"/>
    </row>
    <row r="12" spans="1:7" s="380" customFormat="1">
      <c r="A12" s="396" t="s">
        <v>603</v>
      </c>
      <c r="B12" s="290">
        <f>SUM(B10:B11)</f>
        <v>239602</v>
      </c>
      <c r="C12" s="290">
        <f>SUM(C10:C11)</f>
        <v>239602</v>
      </c>
      <c r="D12" s="290">
        <f t="shared" si="0"/>
        <v>0</v>
      </c>
      <c r="E12" s="288"/>
      <c r="F12" s="287"/>
      <c r="G12" s="383"/>
    </row>
    <row r="13" spans="1:7" s="380" customFormat="1">
      <c r="A13" s="396" t="s">
        <v>84</v>
      </c>
      <c r="B13" s="290">
        <f>SUM(B9+B12)</f>
        <v>8489602</v>
      </c>
      <c r="C13" s="290">
        <f>SUM(C9+C12)</f>
        <v>8489602</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3450000</v>
      </c>
      <c r="C30" s="286">
        <f>'Sources and Uses Budget'!$C29</f>
        <v>3450000</v>
      </c>
      <c r="D30" s="290">
        <f t="shared" si="0"/>
        <v>0</v>
      </c>
      <c r="E30" s="288"/>
      <c r="F30" s="287"/>
      <c r="G30" s="383"/>
    </row>
    <row r="31" spans="1:7" s="380" customFormat="1">
      <c r="A31" s="145" t="s">
        <v>606</v>
      </c>
      <c r="B31" s="286">
        <f>'Sources and Uses Budget'!$C30</f>
        <v>64198403</v>
      </c>
      <c r="C31" s="286">
        <f>'Sources and Uses Budget'!$C30</f>
        <v>64198403</v>
      </c>
      <c r="D31" s="290">
        <f t="shared" si="0"/>
        <v>0</v>
      </c>
      <c r="E31" s="288"/>
      <c r="F31" s="287"/>
      <c r="G31" s="383"/>
    </row>
    <row r="32" spans="1:7" s="380" customFormat="1">
      <c r="A32" s="145" t="s">
        <v>607</v>
      </c>
      <c r="B32" s="286">
        <f>'Sources and Uses Budget'!$C31</f>
        <v>4073280</v>
      </c>
      <c r="C32" s="286">
        <f>'Sources and Uses Budget'!$C31</f>
        <v>4073280</v>
      </c>
      <c r="D32" s="290">
        <f t="shared" si="0"/>
        <v>0</v>
      </c>
      <c r="E32" s="288"/>
      <c r="F32" s="287"/>
      <c r="G32" s="383"/>
    </row>
    <row r="33" spans="1:7" s="380" customFormat="1">
      <c r="A33" s="145" t="s">
        <v>137</v>
      </c>
      <c r="B33" s="286">
        <f>'Sources and Uses Budget'!$C32</f>
        <v>1357760</v>
      </c>
      <c r="C33" s="286">
        <f>'Sources and Uses Budget'!$C32</f>
        <v>1357760</v>
      </c>
      <c r="D33" s="290">
        <f t="shared" si="0"/>
        <v>0</v>
      </c>
      <c r="E33" s="288"/>
      <c r="F33" s="287"/>
      <c r="G33" s="383"/>
    </row>
    <row r="34" spans="1:7" s="380" customFormat="1">
      <c r="A34" s="145" t="s">
        <v>138</v>
      </c>
      <c r="B34" s="286">
        <f>'Sources and Uses Budget'!$C33</f>
        <v>4073280</v>
      </c>
      <c r="C34" s="286">
        <f>'Sources and Uses Budget'!$C33</f>
        <v>4073280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725000</v>
      </c>
      <c r="C36" s="286">
        <f>'Sources and Uses Budget'!$C35</f>
        <v>725000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77877723</v>
      </c>
      <c r="C39" s="290">
        <f>SUM(C30:C38)</f>
        <v>77877723</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750000</v>
      </c>
      <c r="C41" s="286">
        <f>'Sources and Uses Budget'!$C40</f>
        <v>750000</v>
      </c>
      <c r="D41" s="290">
        <f t="shared" si="0"/>
        <v>0</v>
      </c>
      <c r="E41" s="288"/>
      <c r="F41" s="287"/>
      <c r="G41" s="383"/>
    </row>
    <row r="42" spans="1:7" s="380" customFormat="1">
      <c r="A42" s="289" t="s">
        <v>146</v>
      </c>
      <c r="B42" s="286">
        <f>'Sources and Uses Budget'!$C41</f>
        <v>150000</v>
      </c>
      <c r="C42" s="286">
        <f>'Sources and Uses Budget'!$C41</f>
        <v>150000</v>
      </c>
      <c r="D42" s="290">
        <f t="shared" si="0"/>
        <v>0</v>
      </c>
      <c r="E42" s="288"/>
      <c r="F42" s="287"/>
      <c r="G42" s="383"/>
    </row>
    <row r="43" spans="1:7" s="380" customFormat="1">
      <c r="A43" s="291" t="s">
        <v>147</v>
      </c>
      <c r="B43" s="290">
        <f>SUM(B41:B42)</f>
        <v>900000</v>
      </c>
      <c r="C43" s="290">
        <f>SUM(C41:C42)</f>
        <v>900000</v>
      </c>
      <c r="D43" s="290">
        <f t="shared" si="0"/>
        <v>0</v>
      </c>
      <c r="E43" s="288"/>
      <c r="F43" s="287"/>
      <c r="G43" s="383"/>
    </row>
    <row r="44" spans="1:7" s="380" customFormat="1">
      <c r="A44" s="291" t="s">
        <v>148</v>
      </c>
      <c r="B44" s="286">
        <f>'Sources and Uses Budget'!$C43</f>
        <v>285000</v>
      </c>
      <c r="C44" s="286">
        <f>'Sources and Uses Budget'!$C43</f>
        <v>285000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5560000</v>
      </c>
      <c r="C46" s="286">
        <f>'Sources and Uses Budget'!$C45</f>
        <v>5560000</v>
      </c>
      <c r="D46" s="290">
        <f t="shared" si="0"/>
        <v>0</v>
      </c>
      <c r="E46" s="288"/>
      <c r="F46" s="287"/>
      <c r="G46" s="383"/>
    </row>
    <row r="47" spans="1:7" s="380" customFormat="1">
      <c r="A47" s="145" t="s">
        <v>151</v>
      </c>
      <c r="B47" s="286">
        <f>'Sources and Uses Budget'!$C46</f>
        <v>495000</v>
      </c>
      <c r="C47" s="286">
        <f>'Sources and Uses Budget'!$C46</f>
        <v>495000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150000</v>
      </c>
      <c r="C50" s="286">
        <f>'Sources and Uses Budget'!$C49</f>
        <v>150000</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494400</v>
      </c>
      <c r="C53" s="286">
        <f>'Sources and Uses Budget'!$C52</f>
        <v>494400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6889400</v>
      </c>
      <c r="C55" s="293">
        <f>SUM(C46:C54)</f>
        <v>6889400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88000</v>
      </c>
      <c r="C57" s="286">
        <f>'Sources and Uses Budget'!$C56</f>
        <v>88000</v>
      </c>
      <c r="D57" s="290">
        <f t="shared" si="0"/>
        <v>0</v>
      </c>
      <c r="E57" s="288"/>
      <c r="F57" s="287"/>
      <c r="G57" s="383"/>
    </row>
    <row r="58" spans="1:7" s="380" customFormat="1" ht="12.05" customHeight="1">
      <c r="A58" s="289" t="s">
        <v>152</v>
      </c>
      <c r="B58" s="286">
        <f>'Sources and Uses Budget'!$C57</f>
        <v>15000</v>
      </c>
      <c r="C58" s="286">
        <f>'Sources and Uses Budget'!$C57</f>
        <v>15000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113000</v>
      </c>
      <c r="C63" s="290">
        <f>SUM(C57:C62)</f>
        <v>113000</v>
      </c>
      <c r="D63" s="290">
        <f t="shared" si="0"/>
        <v>0</v>
      </c>
      <c r="E63" s="288"/>
      <c r="F63" s="287"/>
      <c r="G63" s="383"/>
    </row>
    <row r="64" spans="1:7" s="380" customFormat="1" ht="12.95">
      <c r="A64" s="294" t="s">
        <v>302</v>
      </c>
      <c r="B64" s="290">
        <f>SUM(B9+B12+B14+B15+B17+B26+B28+B39+B43+B44+B55+B63)</f>
        <v>94554725</v>
      </c>
      <c r="C64" s="290">
        <f>SUM(C9+C12+C14+C15+C17+C26+C28+C39+C43+C44+C55+C63)</f>
        <v>94554725</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70000</v>
      </c>
      <c r="C66" s="286">
        <f>'Sources and Uses Budget'!$C65</f>
        <v>70000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90000</v>
      </c>
      <c r="C70" s="286">
        <f>'Sources and Uses Budget'!$C69</f>
        <v>90000</v>
      </c>
      <c r="D70" s="290">
        <f t="shared" si="0"/>
        <v>0</v>
      </c>
      <c r="E70" s="288"/>
      <c r="F70" s="287"/>
      <c r="G70" s="383"/>
    </row>
    <row r="71" spans="1:7" s="380" customFormat="1">
      <c r="A71" s="149" t="s">
        <v>1753</v>
      </c>
      <c r="B71" s="290">
        <f>SUM(B66:B70)</f>
        <v>160000</v>
      </c>
      <c r="C71" s="290">
        <f>SUM(C66:C70)</f>
        <v>160000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642218</v>
      </c>
      <c r="C76" s="286">
        <f>'Sources and Uses Budget'!$C75</f>
        <v>642218</v>
      </c>
      <c r="D76" s="290">
        <f t="shared" si="0"/>
        <v>0</v>
      </c>
      <c r="E76" s="288"/>
      <c r="F76" s="287"/>
      <c r="G76" s="383"/>
    </row>
    <row r="77" spans="1:7" s="380" customFormat="1">
      <c r="A77" s="292" t="s">
        <v>34</v>
      </c>
      <c r="B77" s="286">
        <f>'Sources and Uses Budget'!$C76</f>
        <v>500000</v>
      </c>
      <c r="C77" s="286">
        <f>'Sources and Uses Budget'!$C76</f>
        <v>500000</v>
      </c>
      <c r="D77" s="290">
        <f t="shared" si="0"/>
        <v>0</v>
      </c>
      <c r="E77" s="288"/>
      <c r="F77" s="287"/>
      <c r="G77" s="383"/>
    </row>
    <row r="78" spans="1:7" s="380" customFormat="1">
      <c r="A78" s="291" t="s">
        <v>613</v>
      </c>
      <c r="B78" s="290">
        <f>SUM(B73:B77)</f>
        <v>1142218</v>
      </c>
      <c r="C78" s="290">
        <f>SUM(C73:C77)</f>
        <v>1142218</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3900000</v>
      </c>
      <c r="C80" s="286">
        <f>'Sources and Uses Budget'!$C79</f>
        <v>3900000</v>
      </c>
      <c r="D80" s="290">
        <f t="shared" si="1"/>
        <v>0</v>
      </c>
      <c r="E80" s="288"/>
      <c r="F80" s="287"/>
      <c r="G80" s="383"/>
    </row>
    <row r="81" spans="1:7" s="380" customFormat="1">
      <c r="A81" s="544" t="s">
        <v>58</v>
      </c>
      <c r="B81" s="286">
        <f>'Sources and Uses Budget'!$C80</f>
        <v>1000000</v>
      </c>
      <c r="C81" s="286">
        <f>'Sources and Uses Budget'!$C80</f>
        <v>1000000</v>
      </c>
      <c r="D81" s="290">
        <f>C81-B81</f>
        <v>0</v>
      </c>
      <c r="E81" s="288"/>
      <c r="F81" s="287"/>
      <c r="G81" s="383"/>
    </row>
    <row r="82" spans="1:7" s="380" customFormat="1">
      <c r="A82" s="291" t="s">
        <v>1312</v>
      </c>
      <c r="B82" s="290">
        <f>SUM(B80:B81)</f>
        <v>4900000</v>
      </c>
      <c r="C82" s="290">
        <f>SUM(C80:C81)</f>
        <v>4900000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121733</v>
      </c>
      <c r="C84" s="286">
        <f>'Sources and Uses Budget'!$C83</f>
        <v>121733</v>
      </c>
      <c r="D84" s="290">
        <f t="shared" si="1"/>
        <v>0</v>
      </c>
      <c r="E84" s="288"/>
      <c r="F84" s="287"/>
      <c r="G84" s="383"/>
    </row>
    <row r="85" spans="1:7" s="380" customFormat="1">
      <c r="A85" s="289" t="s">
        <v>774</v>
      </c>
      <c r="B85" s="286">
        <f>'Sources and Uses Budget'!$C84</f>
        <v>15000</v>
      </c>
      <c r="C85" s="286">
        <f>'Sources and Uses Budget'!$C84</f>
        <v>15000</v>
      </c>
      <c r="D85" s="290">
        <f t="shared" si="1"/>
        <v>0</v>
      </c>
      <c r="E85" s="288"/>
      <c r="F85" s="287"/>
      <c r="G85" s="383"/>
    </row>
    <row r="86" spans="1:7" s="380" customFormat="1">
      <c r="A86" s="289" t="s">
        <v>775</v>
      </c>
      <c r="B86" s="286">
        <f>'Sources and Uses Budget'!$C85</f>
        <v>5408397</v>
      </c>
      <c r="C86" s="286">
        <f>'Sources and Uses Budget'!$C85</f>
        <v>5408397</v>
      </c>
      <c r="D86" s="290">
        <f t="shared" si="1"/>
        <v>0</v>
      </c>
      <c r="E86" s="288"/>
      <c r="F86" s="287"/>
      <c r="G86" s="383"/>
    </row>
    <row r="87" spans="1:7" s="380" customFormat="1">
      <c r="A87" s="289" t="s">
        <v>776</v>
      </c>
      <c r="B87" s="286">
        <f>'Sources and Uses Budget'!$C86</f>
        <v>1400000</v>
      </c>
      <c r="C87" s="286">
        <f>'Sources and Uses Budget'!$C86</f>
        <v>1400000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123071</v>
      </c>
      <c r="C89" s="286">
        <f>'Sources and Uses Budget'!$C88</f>
        <v>123071</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7148201</v>
      </c>
      <c r="C97" s="290">
        <f>SUM(C84:C96)</f>
        <v>7148201</v>
      </c>
      <c r="D97" s="290">
        <f t="shared" si="1"/>
        <v>0</v>
      </c>
      <c r="E97" s="288"/>
      <c r="F97" s="287"/>
      <c r="G97" s="383"/>
    </row>
    <row r="98" spans="1:7" s="380" customFormat="1">
      <c r="A98" s="291" t="s">
        <v>782</v>
      </c>
      <c r="B98" s="290">
        <f>SUM(B64+B71+B78+B82+B97)</f>
        <v>107905144</v>
      </c>
      <c r="C98" s="290">
        <f>SUM(C64+C71+C78+C82+C97)</f>
        <v>107905144</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14709768</v>
      </c>
      <c r="C100" s="286">
        <f>'Sources and Uses Budget'!$C99</f>
        <v>14709768</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14709768</v>
      </c>
      <c r="C105" s="290">
        <f>SUM(C100:C104)</f>
        <v>14709768</v>
      </c>
      <c r="D105" s="290">
        <f t="shared" si="1"/>
        <v>0</v>
      </c>
      <c r="E105" s="288"/>
      <c r="F105" s="287"/>
      <c r="G105" s="383"/>
    </row>
    <row r="106" spans="1:7" s="380" customFormat="1">
      <c r="A106" s="291" t="s">
        <v>787</v>
      </c>
      <c r="B106" s="293">
        <f>SUM(B98+B105)</f>
        <v>122614912</v>
      </c>
      <c r="C106" s="293">
        <f>SUM(C98+C105)</f>
        <v>122614912</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2639</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2639</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2638</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2638</v>
      </c>
      <c r="D65" s="1279" t="s">
        <v>1159</v>
      </c>
      <c r="E65" s="1279"/>
      <c r="F65" s="1279"/>
      <c r="I65" s="524" t="s">
        <v>2071</v>
      </c>
    </row>
    <row r="66" spans="1:9">
      <c r="D66" s="1279"/>
      <c r="E66" s="1279"/>
      <c r="F66" s="1279"/>
      <c r="I66" s="524"/>
    </row>
    <row r="67" spans="1:9">
      <c r="I67" s="524"/>
    </row>
    <row r="68" spans="1:9" ht="13.5">
      <c r="A68" s="518"/>
      <c r="B68" s="519" t="s">
        <v>2639</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2638</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2638</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2638</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2638</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2639</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2638</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2639</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2638</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2638</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2639</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2638</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8" sqref="H18:AJ18"/>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9" t="s">
        <v>2742</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2.95" customHeight="1"/>
    <row r="18" spans="1:52" ht="12.95" customHeight="1">
      <c r="A18" s="57" t="s">
        <v>101</v>
      </c>
      <c r="C18" s="4"/>
      <c r="D18" s="4"/>
      <c r="E18" s="4"/>
      <c r="F18" s="4"/>
      <c r="G18" s="4"/>
      <c r="H18" s="1524" t="s">
        <v>2743</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5864294</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1">
        <f>'Basis &amp; Credits'!AB78</f>
        <v>0</v>
      </c>
      <c r="N27" s="1361"/>
      <c r="O27" s="1361"/>
      <c r="P27" s="1361"/>
      <c r="Q27" s="1361"/>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18" t="s">
        <v>675</v>
      </c>
      <c r="P33" s="1418"/>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9" t="s">
        <v>2512</v>
      </c>
      <c r="B65" s="1549"/>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549"/>
      <c r="AL65" s="1549"/>
      <c r="AM65" s="1549"/>
      <c r="AN65" s="1549"/>
      <c r="AO65" s="1549"/>
      <c r="AP65" s="1549"/>
      <c r="AQ65" s="1549"/>
      <c r="AR65" s="1549"/>
      <c r="AS65" s="1549"/>
      <c r="AT65" s="1549"/>
      <c r="AU65" s="21"/>
      <c r="AV65" s="21"/>
      <c r="AW65" s="21"/>
      <c r="AX65" s="21"/>
      <c r="AY65" s="21"/>
      <c r="AZ65" s="20"/>
    </row>
    <row r="66" spans="1:52" ht="12.95" customHeight="1">
      <c r="A66" s="1549"/>
      <c r="B66" s="1549"/>
      <c r="C66" s="1549"/>
      <c r="D66" s="1549"/>
      <c r="E66" s="1549"/>
      <c r="F66" s="1549"/>
      <c r="G66" s="1549"/>
      <c r="H66" s="1549"/>
      <c r="I66" s="1549"/>
      <c r="J66" s="1549"/>
      <c r="K66" s="1549"/>
      <c r="L66" s="1549"/>
      <c r="M66" s="1549"/>
      <c r="N66" s="1549"/>
      <c r="O66" s="1549"/>
      <c r="P66" s="1549"/>
      <c r="Q66" s="1549"/>
      <c r="R66" s="1549"/>
      <c r="S66" s="1549"/>
      <c r="T66" s="1549"/>
      <c r="U66" s="1549"/>
      <c r="V66" s="1549"/>
      <c r="W66" s="1549"/>
      <c r="X66" s="1549"/>
      <c r="Y66" s="1549"/>
      <c r="Z66" s="1549"/>
      <c r="AA66" s="1549"/>
      <c r="AB66" s="1549"/>
      <c r="AC66" s="1549"/>
      <c r="AD66" s="1549"/>
      <c r="AE66" s="1549"/>
      <c r="AF66" s="1549"/>
      <c r="AG66" s="1549"/>
      <c r="AH66" s="1549"/>
      <c r="AI66" s="1549"/>
      <c r="AJ66" s="1549"/>
      <c r="AK66" s="1549"/>
      <c r="AL66" s="1549"/>
      <c r="AM66" s="1549"/>
      <c r="AN66" s="1549"/>
      <c r="AO66" s="1549"/>
      <c r="AP66" s="1549"/>
      <c r="AQ66" s="1549"/>
      <c r="AR66" s="1549"/>
      <c r="AS66" s="1549"/>
      <c r="AT66" s="1549"/>
      <c r="AU66" s="21"/>
      <c r="AV66" s="21"/>
      <c r="AW66" s="21"/>
      <c r="AX66" s="21"/>
      <c r="AY66" s="21"/>
      <c r="AZ66" s="20"/>
    </row>
    <row r="67" spans="1:52" ht="12.95" customHeight="1">
      <c r="A67" s="1549"/>
      <c r="B67" s="1549"/>
      <c r="C67" s="1549"/>
      <c r="D67" s="1549"/>
      <c r="E67" s="1549"/>
      <c r="F67" s="1549"/>
      <c r="G67" s="1549"/>
      <c r="H67" s="1549"/>
      <c r="I67" s="1549"/>
      <c r="J67" s="1549"/>
      <c r="K67" s="1549"/>
      <c r="L67" s="1549"/>
      <c r="M67" s="1549"/>
      <c r="N67" s="1549"/>
      <c r="O67" s="1549"/>
      <c r="P67" s="1549"/>
      <c r="Q67" s="1549"/>
      <c r="R67" s="1549"/>
      <c r="S67" s="1549"/>
      <c r="T67" s="1549"/>
      <c r="U67" s="1549"/>
      <c r="V67" s="1549"/>
      <c r="W67" s="1549"/>
      <c r="X67" s="1549"/>
      <c r="Y67" s="1549"/>
      <c r="Z67" s="1549"/>
      <c r="AA67" s="1549"/>
      <c r="AB67" s="1549"/>
      <c r="AC67" s="1549"/>
      <c r="AD67" s="1549"/>
      <c r="AE67" s="1549"/>
      <c r="AF67" s="1549"/>
      <c r="AG67" s="1549"/>
      <c r="AH67" s="1549"/>
      <c r="AI67" s="1549"/>
      <c r="AJ67" s="1549"/>
      <c r="AK67" s="1549"/>
      <c r="AL67" s="1549"/>
      <c r="AM67" s="1549"/>
      <c r="AN67" s="1549"/>
      <c r="AO67" s="1549"/>
      <c r="AP67" s="1549"/>
      <c r="AQ67" s="1549"/>
      <c r="AR67" s="1549"/>
      <c r="AS67" s="1549"/>
      <c r="AT67" s="154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9" t="s">
        <v>2513</v>
      </c>
      <c r="B69" s="1549"/>
      <c r="C69" s="1549"/>
      <c r="D69" s="1549"/>
      <c r="E69" s="1549"/>
      <c r="F69" s="1549"/>
      <c r="G69" s="1549"/>
      <c r="H69" s="1549"/>
      <c r="I69" s="1549"/>
      <c r="J69" s="1549"/>
      <c r="K69" s="1549"/>
      <c r="L69" s="1549"/>
      <c r="M69" s="1549"/>
      <c r="N69" s="1549"/>
      <c r="O69" s="1549"/>
      <c r="P69" s="1549"/>
      <c r="Q69" s="1549"/>
      <c r="R69" s="1549"/>
      <c r="S69" s="1549"/>
      <c r="T69" s="1549"/>
      <c r="U69" s="1549"/>
      <c r="V69" s="1549"/>
      <c r="W69" s="1549"/>
      <c r="X69" s="1549"/>
      <c r="Y69" s="1549"/>
      <c r="Z69" s="1549"/>
      <c r="AA69" s="1549"/>
      <c r="AB69" s="1549"/>
      <c r="AC69" s="1549"/>
      <c r="AD69" s="1549"/>
      <c r="AE69" s="1549"/>
      <c r="AF69" s="1549"/>
      <c r="AG69" s="1549"/>
      <c r="AH69" s="1549"/>
      <c r="AI69" s="1549"/>
      <c r="AJ69" s="1549"/>
      <c r="AK69" s="1549"/>
      <c r="AL69" s="1549"/>
      <c r="AM69" s="1549"/>
      <c r="AN69" s="1549"/>
      <c r="AO69" s="1549"/>
      <c r="AP69" s="1549"/>
      <c r="AQ69" s="1549"/>
      <c r="AR69" s="1549"/>
      <c r="AS69" s="1549"/>
      <c r="AT69" s="1549"/>
      <c r="AZ69" s="20"/>
    </row>
    <row r="70" spans="1:52" ht="12.95" customHeight="1">
      <c r="A70" s="1549"/>
      <c r="B70" s="1549"/>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549"/>
      <c r="AL70" s="1549"/>
      <c r="AM70" s="1549"/>
      <c r="AN70" s="1549"/>
      <c r="AO70" s="1549"/>
      <c r="AP70" s="1549"/>
      <c r="AQ70" s="1549"/>
      <c r="AR70" s="1549"/>
      <c r="AS70" s="1549"/>
      <c r="AT70" s="154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8" t="s">
        <v>2515</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row>
    <row r="76" spans="1:52" ht="12.95"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row>
    <row r="77" spans="1:52" ht="12.95"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9" t="s">
        <v>2516</v>
      </c>
      <c r="B79" s="1549"/>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549"/>
      <c r="AL79" s="1549"/>
      <c r="AM79" s="1549"/>
      <c r="AN79" s="1549"/>
      <c r="AO79" s="1549"/>
      <c r="AP79" s="1549"/>
      <c r="AQ79" s="1549"/>
      <c r="AR79" s="1549"/>
      <c r="AS79" s="1549"/>
      <c r="AT79" s="1549"/>
      <c r="AU79" s="20"/>
      <c r="AV79" s="20"/>
      <c r="AW79" s="20"/>
      <c r="AX79" s="20"/>
      <c r="AY79" s="20"/>
      <c r="AZ79" s="20"/>
    </row>
    <row r="80" spans="1:52" ht="12.95" customHeight="1">
      <c r="A80" s="1549"/>
      <c r="B80" s="1549"/>
      <c r="C80" s="1549"/>
      <c r="D80" s="1549"/>
      <c r="E80" s="1549"/>
      <c r="F80" s="1549"/>
      <c r="G80" s="1549"/>
      <c r="H80" s="1549"/>
      <c r="I80" s="1549"/>
      <c r="J80" s="1549"/>
      <c r="K80" s="1549"/>
      <c r="L80" s="1549"/>
      <c r="M80" s="1549"/>
      <c r="N80" s="1549"/>
      <c r="O80" s="1549"/>
      <c r="P80" s="1549"/>
      <c r="Q80" s="1549"/>
      <c r="R80" s="1549"/>
      <c r="S80" s="1549"/>
      <c r="T80" s="1549"/>
      <c r="U80" s="1549"/>
      <c r="V80" s="1549"/>
      <c r="W80" s="1549"/>
      <c r="X80" s="1549"/>
      <c r="Y80" s="1549"/>
      <c r="Z80" s="1549"/>
      <c r="AA80" s="1549"/>
      <c r="AB80" s="1549"/>
      <c r="AC80" s="1549"/>
      <c r="AD80" s="1549"/>
      <c r="AE80" s="1549"/>
      <c r="AF80" s="1549"/>
      <c r="AG80" s="1549"/>
      <c r="AH80" s="1549"/>
      <c r="AI80" s="1549"/>
      <c r="AJ80" s="1549"/>
      <c r="AK80" s="1549"/>
      <c r="AL80" s="1549"/>
      <c r="AM80" s="1549"/>
      <c r="AN80" s="1549"/>
      <c r="AO80" s="1549"/>
      <c r="AP80" s="1549"/>
      <c r="AQ80" s="1549"/>
      <c r="AR80" s="1549"/>
      <c r="AS80" s="1549"/>
      <c r="AT80" s="1549"/>
      <c r="AU80" s="20"/>
      <c r="AV80" s="20"/>
      <c r="AW80" s="20"/>
      <c r="AX80" s="20"/>
      <c r="AY80" s="20"/>
      <c r="AZ80" s="20"/>
    </row>
    <row r="81" spans="1:52" ht="12.95" customHeight="1">
      <c r="A81" s="1549"/>
      <c r="B81" s="1549"/>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549"/>
      <c r="AL81" s="1549"/>
      <c r="AM81" s="1549"/>
      <c r="AN81" s="1549"/>
      <c r="AO81" s="1549"/>
      <c r="AP81" s="1549"/>
      <c r="AQ81" s="1549"/>
      <c r="AR81" s="1549"/>
      <c r="AS81" s="1549"/>
      <c r="AT81" s="154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4" t="s">
        <v>2519</v>
      </c>
      <c r="B89" s="1564"/>
      <c r="C89" s="1564"/>
      <c r="D89" s="1564"/>
      <c r="E89" s="1564"/>
      <c r="F89" s="1564"/>
      <c r="G89" s="1564"/>
      <c r="H89" s="1564"/>
      <c r="I89" s="1564"/>
      <c r="J89" s="1564"/>
      <c r="K89" s="1564"/>
      <c r="L89" s="1564"/>
      <c r="M89" s="1564"/>
      <c r="N89" s="1564"/>
      <c r="O89" s="1564"/>
      <c r="P89" s="1564"/>
      <c r="Q89" s="1564"/>
      <c r="R89" s="1564"/>
      <c r="S89" s="1564"/>
      <c r="T89" s="1564"/>
      <c r="U89" s="1564"/>
      <c r="V89" s="1564"/>
      <c r="W89" s="1564"/>
      <c r="X89" s="1564"/>
      <c r="Y89" s="1564"/>
      <c r="Z89" s="1564"/>
      <c r="AA89" s="1564"/>
      <c r="AB89" s="1564"/>
      <c r="AC89" s="1564"/>
      <c r="AD89" s="1564"/>
      <c r="AE89" s="1564"/>
      <c r="AF89" s="1564"/>
      <c r="AG89" s="1564"/>
      <c r="AH89" s="1564"/>
      <c r="AI89" s="1564"/>
      <c r="AJ89" s="1564"/>
      <c r="AK89" s="1564"/>
      <c r="AL89" s="1564"/>
      <c r="AM89" s="1564"/>
      <c r="AN89" s="1564"/>
      <c r="AO89" s="1564"/>
      <c r="AP89" s="1564"/>
      <c r="AQ89" s="1564"/>
      <c r="AR89" s="1564"/>
      <c r="AS89" s="1564"/>
      <c r="AT89" s="1564"/>
      <c r="AU89" s="17"/>
      <c r="AV89" s="17"/>
      <c r="AW89" s="17"/>
      <c r="AX89" s="17"/>
      <c r="AY89" s="17"/>
      <c r="AZ89" s="20"/>
    </row>
    <row r="90" spans="1:52" ht="12.95" customHeight="1">
      <c r="A90" s="1564"/>
      <c r="B90" s="1564"/>
      <c r="C90" s="1564"/>
      <c r="D90" s="1564"/>
      <c r="E90" s="1564"/>
      <c r="F90" s="1564"/>
      <c r="G90" s="1564"/>
      <c r="H90" s="1564"/>
      <c r="I90" s="1564"/>
      <c r="J90" s="1564"/>
      <c r="K90" s="1564"/>
      <c r="L90" s="1564"/>
      <c r="M90" s="1564"/>
      <c r="N90" s="1564"/>
      <c r="O90" s="1564"/>
      <c r="P90" s="1564"/>
      <c r="Q90" s="1564"/>
      <c r="R90" s="1564"/>
      <c r="S90" s="1564"/>
      <c r="T90" s="1564"/>
      <c r="U90" s="1564"/>
      <c r="V90" s="1564"/>
      <c r="W90" s="1564"/>
      <c r="X90" s="1564"/>
      <c r="Y90" s="1564"/>
      <c r="Z90" s="1564"/>
      <c r="AA90" s="1564"/>
      <c r="AB90" s="1564"/>
      <c r="AC90" s="1564"/>
      <c r="AD90" s="1564"/>
      <c r="AE90" s="1564"/>
      <c r="AF90" s="1564"/>
      <c r="AG90" s="1564"/>
      <c r="AH90" s="1564"/>
      <c r="AI90" s="1564"/>
      <c r="AJ90" s="1564"/>
      <c r="AK90" s="1564"/>
      <c r="AL90" s="1564"/>
      <c r="AM90" s="1564"/>
      <c r="AN90" s="1564"/>
      <c r="AO90" s="1564"/>
      <c r="AP90" s="1564"/>
      <c r="AQ90" s="1564"/>
      <c r="AR90" s="1564"/>
      <c r="AS90" s="1564"/>
      <c r="AT90" s="156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8" t="s">
        <v>2520</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row>
    <row r="93" spans="1:52" ht="12.95"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row>
    <row r="94" spans="1:52" ht="12.95"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row>
    <row r="95" spans="1:52" ht="12.95"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row>
    <row r="96" spans="1:52" ht="12.95"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row>
    <row r="97" spans="1:52" ht="12.95"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row>
    <row r="98" spans="1:52" ht="12.95"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51"/>
      <c r="H113" s="1551"/>
      <c r="I113" s="3" t="s">
        <v>181</v>
      </c>
      <c r="L113" s="1551"/>
      <c r="M113" s="1551"/>
      <c r="N113" s="1551"/>
      <c r="O113" s="1551"/>
      <c r="P113" s="1566" t="s">
        <v>2524</v>
      </c>
      <c r="Q113" s="1566"/>
      <c r="R113" s="1566"/>
      <c r="S113" s="156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2" t="s">
        <v>2640</v>
      </c>
      <c r="D115" s="1552"/>
      <c r="E115" s="1552"/>
      <c r="F115" s="1552"/>
      <c r="G115" s="1552"/>
      <c r="H115" s="1552"/>
      <c r="I115" s="1552"/>
      <c r="J115" s="1552"/>
      <c r="K115" s="1552"/>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551"/>
      <c r="Z117" s="1551"/>
      <c r="AA117" s="1551"/>
      <c r="AB117" s="1551"/>
      <c r="AC117" s="1551"/>
      <c r="AD117" s="1551"/>
      <c r="AE117" s="1551"/>
      <c r="AF117" s="1551"/>
      <c r="AG117" s="1551"/>
      <c r="AH117" s="1551"/>
      <c r="AI117" s="1551"/>
      <c r="AJ117" s="1551"/>
      <c r="AK117" s="1551"/>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1" t="s">
        <v>2642</v>
      </c>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1" t="s">
        <v>2643</v>
      </c>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4" t="s">
        <v>2744</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441</v>
      </c>
      <c r="O154" s="1523" t="s">
        <v>2745</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442</v>
      </c>
      <c r="F155" s="8"/>
      <c r="G155" s="8"/>
      <c r="H155" s="8"/>
      <c r="I155" s="8"/>
      <c r="J155" s="8"/>
      <c r="K155" s="8"/>
      <c r="L155" s="8"/>
      <c r="M155" s="8"/>
      <c r="N155" s="8"/>
      <c r="O155" s="1562" t="s">
        <v>2738</v>
      </c>
      <c r="P155" s="1563"/>
      <c r="Q155" s="1563"/>
      <c r="R155" s="1563"/>
      <c r="S155" s="1563"/>
      <c r="T155" s="1563"/>
      <c r="U155" s="1563"/>
      <c r="V155" s="1563"/>
      <c r="W155" s="1563"/>
      <c r="X155" s="1563"/>
      <c r="Y155" s="1563"/>
      <c r="Z155" s="1563"/>
      <c r="AA155" s="1563"/>
      <c r="AB155" s="1563"/>
      <c r="AC155" s="1563"/>
      <c r="AD155" s="1563"/>
      <c r="AE155" s="1563"/>
      <c r="AF155" s="1563"/>
      <c r="AG155" s="1563"/>
      <c r="AH155" s="1563"/>
    </row>
    <row r="156" spans="1:72" ht="12.95" customHeight="1">
      <c r="D156" t="s">
        <v>313</v>
      </c>
      <c r="O156" s="1432" t="s">
        <v>2746</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307</v>
      </c>
    </row>
    <row r="157" spans="1:72" ht="12.95" customHeight="1">
      <c r="D157" t="s">
        <v>314</v>
      </c>
      <c r="O157" s="1524" t="s">
        <v>2747</v>
      </c>
      <c r="P157" s="1430"/>
      <c r="Q157" s="1430"/>
      <c r="R157" s="1430"/>
      <c r="S157" s="1430"/>
      <c r="T157" s="1430"/>
      <c r="U157" s="1430"/>
      <c r="V157" s="1430"/>
      <c r="W157" s="1430"/>
      <c r="X157" s="1430"/>
      <c r="Y157" s="8"/>
      <c r="Z157" s="8"/>
      <c r="AA157" s="8"/>
      <c r="AB157" s="8"/>
      <c r="AC157" s="8"/>
      <c r="AD157" s="8"/>
      <c r="AE157" s="8"/>
      <c r="AF157" s="8"/>
      <c r="BN157" s="23" t="s">
        <v>642</v>
      </c>
      <c r="BT157" t="s">
        <v>483</v>
      </c>
    </row>
    <row r="158" spans="1:72" ht="12.95" customHeight="1">
      <c r="D158" t="s">
        <v>315</v>
      </c>
      <c r="O158" s="1571">
        <v>94804</v>
      </c>
      <c r="P158" s="1571"/>
      <c r="Q158" s="1571"/>
      <c r="R158" s="1571"/>
      <c r="S158" s="9"/>
      <c r="T158" s="9"/>
      <c r="U158" s="9"/>
      <c r="V158" s="9"/>
      <c r="W158" s="9"/>
      <c r="X158" s="9"/>
      <c r="Y158" s="9"/>
      <c r="Z158" s="9"/>
      <c r="AA158" s="9"/>
      <c r="AB158" s="9"/>
      <c r="AC158" s="9"/>
      <c r="AD158" s="9"/>
      <c r="AE158" s="9"/>
      <c r="AF158" s="9"/>
      <c r="BN158" s="23" t="s">
        <v>643</v>
      </c>
      <c r="BT158" t="s">
        <v>484</v>
      </c>
    </row>
    <row r="159" spans="1:72" ht="12.95" customHeight="1">
      <c r="D159" t="s">
        <v>316</v>
      </c>
      <c r="O159" s="1557" t="s">
        <v>2748</v>
      </c>
      <c r="P159" s="1557"/>
      <c r="Q159" s="1557"/>
      <c r="R159" s="1557"/>
      <c r="S159" s="1557"/>
      <c r="T159" s="1557"/>
      <c r="V159" s="97" t="s">
        <v>271</v>
      </c>
      <c r="W159" s="1572"/>
      <c r="X159" s="1572"/>
      <c r="Y159" s="10"/>
      <c r="Z159" s="10"/>
      <c r="AA159" s="10"/>
      <c r="AB159" s="10"/>
      <c r="AC159" s="10"/>
      <c r="AD159" s="10"/>
      <c r="AE159" s="10"/>
      <c r="AF159" s="10"/>
      <c r="BN159" s="23" t="s">
        <v>339</v>
      </c>
      <c r="BT159" t="s">
        <v>485</v>
      </c>
    </row>
    <row r="160" spans="1:72" ht="12.95" customHeight="1">
      <c r="D160" t="s">
        <v>317</v>
      </c>
      <c r="O160" s="1557" t="s">
        <v>2749</v>
      </c>
      <c r="P160" s="1557"/>
      <c r="Q160" s="1557"/>
      <c r="R160" s="1557"/>
      <c r="S160" s="1557"/>
      <c r="T160" s="1557"/>
      <c r="U160" s="10"/>
      <c r="V160" s="10"/>
      <c r="W160" s="10"/>
      <c r="X160" s="10"/>
      <c r="Y160" s="10"/>
      <c r="Z160" s="10"/>
      <c r="AA160" s="10"/>
      <c r="AB160" s="10"/>
      <c r="AC160" s="10"/>
      <c r="AD160" s="10"/>
      <c r="AE160" s="10"/>
      <c r="AF160" s="10"/>
      <c r="BN160" s="23" t="s">
        <v>666</v>
      </c>
      <c r="BT160" t="s">
        <v>486</v>
      </c>
    </row>
    <row r="161" spans="1:72" ht="12.95" customHeight="1">
      <c r="D161" t="s">
        <v>318</v>
      </c>
      <c r="O161" s="1537" t="s">
        <v>2750</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3" t="s">
        <v>2619</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7" t="s">
        <v>546</v>
      </c>
      <c r="B169" s="1547"/>
      <c r="C169" s="1547"/>
      <c r="D169" s="1547"/>
      <c r="E169" s="1547"/>
      <c r="F169" s="1547"/>
      <c r="G169" s="1547"/>
      <c r="H169" s="1547"/>
      <c r="I169" s="1547"/>
      <c r="J169" s="1547"/>
      <c r="K169" s="1547"/>
      <c r="L169" s="1547"/>
      <c r="M169" s="1547"/>
      <c r="N169" s="1547"/>
      <c r="O169" s="1547"/>
      <c r="P169" s="1547"/>
      <c r="Q169" s="1547"/>
      <c r="R169" s="1547"/>
      <c r="S169" s="1547"/>
      <c r="T169" s="1547"/>
      <c r="U169" s="1547"/>
      <c r="V169" s="1547"/>
      <c r="W169" s="1547"/>
      <c r="X169" s="1547"/>
      <c r="Y169" s="1547"/>
      <c r="Z169" s="1547"/>
      <c r="AA169" s="1547"/>
      <c r="AB169" s="1547"/>
      <c r="AC169" s="1547"/>
      <c r="AD169" s="1547"/>
      <c r="AE169" s="1547"/>
      <c r="AF169" s="1547"/>
      <c r="AG169" s="1547"/>
      <c r="AH169" s="1547"/>
      <c r="AI169" s="1547"/>
      <c r="AJ169" s="1547"/>
      <c r="AK169" s="1547"/>
      <c r="AL169" s="1547"/>
      <c r="AM169" s="1547"/>
      <c r="AN169" s="1547"/>
      <c r="AO169" s="1547"/>
      <c r="AP169" s="1547"/>
      <c r="AQ169" s="1547"/>
      <c r="AR169" s="1547"/>
      <c r="AS169" s="1547"/>
      <c r="AT169" s="1547"/>
      <c r="AU169" s="95"/>
      <c r="AV169" s="95"/>
      <c r="AW169" s="95"/>
      <c r="AX169" s="95"/>
      <c r="AY169" s="95"/>
      <c r="BN169" s="23" t="s">
        <v>679</v>
      </c>
      <c r="BT169" t="s">
        <v>495</v>
      </c>
    </row>
    <row r="170" spans="1:72" ht="12.95" customHeight="1">
      <c r="A170" s="1547"/>
      <c r="B170" s="1547"/>
      <c r="C170" s="1547"/>
      <c r="D170" s="1547"/>
      <c r="E170" s="1547"/>
      <c r="F170" s="1547"/>
      <c r="G170" s="1547"/>
      <c r="H170" s="1547"/>
      <c r="I170" s="1547"/>
      <c r="J170" s="1547"/>
      <c r="K170" s="1547"/>
      <c r="L170" s="1547"/>
      <c r="M170" s="1547"/>
      <c r="N170" s="1547"/>
      <c r="O170" s="1547"/>
      <c r="P170" s="1547"/>
      <c r="Q170" s="1547"/>
      <c r="R170" s="1547"/>
      <c r="S170" s="1547"/>
      <c r="T170" s="1547"/>
      <c r="U170" s="1547"/>
      <c r="V170" s="1547"/>
      <c r="W170" s="1547"/>
      <c r="X170" s="1547"/>
      <c r="Y170" s="1547"/>
      <c r="Z170" s="1547"/>
      <c r="AA170" s="1547"/>
      <c r="AB170" s="1547"/>
      <c r="AC170" s="1547"/>
      <c r="AD170" s="1547"/>
      <c r="AE170" s="1547"/>
      <c r="AF170" s="1547"/>
      <c r="AG170" s="1547"/>
      <c r="AH170" s="1547"/>
      <c r="AI170" s="1547"/>
      <c r="AJ170" s="1547"/>
      <c r="AK170" s="1547"/>
      <c r="AL170" s="1547"/>
      <c r="AM170" s="1547"/>
      <c r="AN170" s="1547"/>
      <c r="AO170" s="1547"/>
      <c r="AP170" s="1547"/>
      <c r="AQ170" s="1547"/>
      <c r="AR170" s="1547"/>
      <c r="AS170" s="1547"/>
      <c r="AT170" s="1547"/>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61" t="s">
        <v>371</v>
      </c>
      <c r="K173" s="1561"/>
      <c r="L173" s="1561"/>
      <c r="M173" s="1561"/>
      <c r="N173" s="1561"/>
      <c r="O173" s="1561"/>
      <c r="P173" s="1561"/>
      <c r="Q173" s="1561"/>
      <c r="R173" s="1561"/>
      <c r="S173" s="1561"/>
      <c r="U173" s="25"/>
      <c r="X173" s="25"/>
      <c r="BB173" s="3" t="s">
        <v>307</v>
      </c>
      <c r="BN173" s="23" t="s">
        <v>214</v>
      </c>
      <c r="BT173" t="s">
        <v>499</v>
      </c>
    </row>
    <row r="174" spans="1:72" ht="12.95" customHeight="1">
      <c r="C174" s="24"/>
      <c r="D174" s="3" t="s">
        <v>1305</v>
      </c>
      <c r="J174" s="1432" t="s">
        <v>2416</v>
      </c>
      <c r="K174" s="1432"/>
      <c r="L174" s="1432"/>
      <c r="M174" s="1432"/>
      <c r="N174" s="1432"/>
      <c r="O174" s="1432"/>
      <c r="P174" s="1432"/>
      <c r="Q174" s="1432"/>
      <c r="R174" s="1432"/>
      <c r="S174" s="1432"/>
      <c r="T174" s="1432"/>
      <c r="U174" s="1432"/>
      <c r="V174" s="1432"/>
      <c r="W174" s="1432"/>
      <c r="X174" s="1432"/>
      <c r="Y174" s="1432"/>
      <c r="Z174" s="1432"/>
      <c r="AA174" s="1432"/>
      <c r="AB174" s="1432"/>
      <c r="BB174" t="s">
        <v>2269</v>
      </c>
      <c r="BN174" s="23" t="s">
        <v>216</v>
      </c>
      <c r="BT174" t="s">
        <v>500</v>
      </c>
    </row>
    <row r="175" spans="1:72" ht="12.95" customHeight="1">
      <c r="C175" s="8"/>
      <c r="D175" s="3" t="s">
        <v>322</v>
      </c>
      <c r="O175" s="27"/>
      <c r="U175" s="1418" t="s">
        <v>552</v>
      </c>
      <c r="V175" s="1418"/>
      <c r="BB175" t="s">
        <v>2233</v>
      </c>
      <c r="BN175" s="23" t="s">
        <v>217</v>
      </c>
      <c r="BT175" t="s">
        <v>501</v>
      </c>
    </row>
    <row r="176" spans="1:72" ht="12.95" customHeight="1">
      <c r="C176" s="8"/>
      <c r="D176" s="26"/>
      <c r="E176" t="s">
        <v>304</v>
      </c>
      <c r="O176" s="27"/>
      <c r="P176" t="s">
        <v>2391</v>
      </c>
      <c r="T176" s="27" t="s">
        <v>305</v>
      </c>
      <c r="U176" s="1556">
        <v>24</v>
      </c>
      <c r="V176" s="1556"/>
      <c r="W176" s="1" t="s">
        <v>306</v>
      </c>
      <c r="X176" s="1565">
        <v>417</v>
      </c>
      <c r="Y176" s="1565"/>
      <c r="BB176" t="s">
        <v>2270</v>
      </c>
      <c r="BN176" s="23" t="s">
        <v>219</v>
      </c>
      <c r="BT176" t="s">
        <v>502</v>
      </c>
    </row>
    <row r="177" spans="1:72" ht="12.95" customHeight="1">
      <c r="C177" s="24"/>
      <c r="D177" t="s">
        <v>249</v>
      </c>
      <c r="R177" s="1418" t="s">
        <v>675</v>
      </c>
      <c r="S177" s="1418"/>
      <c r="BB177" t="s">
        <v>2573</v>
      </c>
      <c r="BN177" s="23" t="s">
        <v>220</v>
      </c>
      <c r="BT177" t="s">
        <v>503</v>
      </c>
    </row>
    <row r="178" spans="1:72" ht="12.95" customHeight="1">
      <c r="C178" s="24"/>
      <c r="D178" s="3" t="s">
        <v>1306</v>
      </c>
      <c r="AA178" t="s">
        <v>2391</v>
      </c>
      <c r="AE178" s="27" t="s">
        <v>305</v>
      </c>
      <c r="AF178" s="1567"/>
      <c r="AG178" s="1567"/>
      <c r="AH178" s="1" t="s">
        <v>306</v>
      </c>
      <c r="AI178" s="1532"/>
      <c r="AJ178" s="1532"/>
      <c r="AK178" s="1532"/>
      <c r="BB178" t="s">
        <v>2574</v>
      </c>
      <c r="BN178" s="23" t="s">
        <v>221</v>
      </c>
      <c r="BT178" t="s">
        <v>53</v>
      </c>
    </row>
    <row r="179" spans="1:72" ht="12.95" customHeight="1">
      <c r="C179" s="24"/>
      <c r="BN179" s="23" t="s">
        <v>222</v>
      </c>
      <c r="BT179" t="s">
        <v>54</v>
      </c>
    </row>
    <row r="180" spans="1:72" ht="12.95" customHeight="1">
      <c r="C180" s="24"/>
      <c r="D180" t="s">
        <v>2392</v>
      </c>
      <c r="X180" s="1418" t="s">
        <v>675</v>
      </c>
      <c r="Y180" s="1418"/>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1" t="str">
        <f>H18</f>
        <v>Metrowalk at Richmond Station</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230</v>
      </c>
      <c r="BT184" t="s">
        <v>62</v>
      </c>
    </row>
    <row r="185" spans="1:72" ht="12.95" customHeight="1">
      <c r="C185" s="21"/>
      <c r="D185" t="s">
        <v>586</v>
      </c>
      <c r="I185" s="1431"/>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595</v>
      </c>
      <c r="BN185" s="23" t="s">
        <v>231</v>
      </c>
      <c r="BT185" t="s">
        <v>63</v>
      </c>
    </row>
    <row r="186" spans="1:72" ht="12.95" customHeight="1">
      <c r="C186" s="21"/>
      <c r="E186" t="s">
        <v>167</v>
      </c>
      <c r="BN186" s="23" t="s">
        <v>232</v>
      </c>
      <c r="BT186" t="s">
        <v>64</v>
      </c>
    </row>
    <row r="187" spans="1:72" ht="12.95" customHeight="1">
      <c r="C187" s="21"/>
      <c r="E187" s="1459" t="s">
        <v>2751</v>
      </c>
      <c r="F187" s="1459"/>
      <c r="G187" s="1459"/>
      <c r="H187" s="1459"/>
      <c r="I187" s="1459"/>
      <c r="J187" s="1459"/>
      <c r="K187" s="1459"/>
      <c r="L187" s="1459"/>
      <c r="M187" s="1459"/>
      <c r="N187" s="1459"/>
      <c r="O187" s="1459"/>
      <c r="P187" s="1459"/>
      <c r="Q187" s="1459"/>
      <c r="R187" s="1459"/>
      <c r="S187" s="1459"/>
      <c r="T187" s="1459"/>
      <c r="U187" s="1459"/>
      <c r="V187" s="1459"/>
      <c r="W187" s="1459"/>
      <c r="X187" s="1459"/>
      <c r="Y187" s="1459"/>
      <c r="Z187" s="1459"/>
      <c r="AA187" s="1459"/>
      <c r="AB187" s="1459"/>
      <c r="AC187" s="1459"/>
      <c r="AD187" s="1459"/>
      <c r="AE187" s="1459"/>
      <c r="BN187" s="23" t="s">
        <v>233</v>
      </c>
      <c r="BT187" t="s">
        <v>65</v>
      </c>
    </row>
    <row r="188" spans="1:72" ht="12.95" customHeight="1">
      <c r="C188" s="21"/>
      <c r="E188" s="1460"/>
      <c r="F188" s="1460"/>
      <c r="G188" s="1460"/>
      <c r="H188" s="1460"/>
      <c r="I188" s="1460"/>
      <c r="J188" s="1460"/>
      <c r="K188" s="1460"/>
      <c r="L188" s="1460"/>
      <c r="M188" s="1460"/>
      <c r="N188" s="1460"/>
      <c r="O188" s="1460"/>
      <c r="P188" s="1460"/>
      <c r="Q188" s="1460"/>
      <c r="R188" s="1460"/>
      <c r="S188" s="1460"/>
      <c r="T188" s="1460"/>
      <c r="U188" s="1460"/>
      <c r="V188" s="1460"/>
      <c r="W188" s="1460"/>
      <c r="X188" s="1460"/>
      <c r="Y188" s="1460"/>
      <c r="Z188" s="1460"/>
      <c r="AA188" s="1460"/>
      <c r="AB188" s="1460"/>
      <c r="AC188" s="1460"/>
      <c r="AD188" s="1460"/>
      <c r="AE188" s="1460"/>
      <c r="BN188" s="23" t="s">
        <v>235</v>
      </c>
      <c r="BT188" t="s">
        <v>66</v>
      </c>
    </row>
    <row r="189" spans="1:72" ht="12.95" customHeight="1">
      <c r="C189" s="21"/>
      <c r="D189" t="s">
        <v>587</v>
      </c>
      <c r="I189" s="1432" t="s">
        <v>2747</v>
      </c>
      <c r="J189" s="1432"/>
      <c r="K189" s="1432"/>
      <c r="L189" s="1432"/>
      <c r="M189" s="1432"/>
      <c r="N189" s="1432"/>
      <c r="O189" s="1432"/>
      <c r="P189" s="1432"/>
      <c r="Q189" t="s">
        <v>589</v>
      </c>
      <c r="T189" s="1432" t="s">
        <v>489</v>
      </c>
      <c r="U189" s="1432"/>
      <c r="V189" s="1432"/>
      <c r="W189" s="1432"/>
      <c r="X189" s="1432"/>
      <c r="Y189" s="1432"/>
      <c r="Z189" s="1432"/>
      <c r="AA189" s="1432"/>
      <c r="AB189" s="1432"/>
      <c r="AC189" s="1432"/>
      <c r="AD189" s="1432"/>
      <c r="AE189" s="1432"/>
      <c r="BC189" t="s">
        <v>307</v>
      </c>
      <c r="BH189" s="3" t="s">
        <v>598</v>
      </c>
      <c r="BN189" s="23" t="s">
        <v>236</v>
      </c>
      <c r="BT189" t="s">
        <v>67</v>
      </c>
    </row>
    <row r="190" spans="1:72" ht="12.95" customHeight="1">
      <c r="C190" s="21"/>
      <c r="D190" t="s">
        <v>590</v>
      </c>
      <c r="I190" s="1431">
        <v>94801</v>
      </c>
      <c r="J190" s="1431"/>
      <c r="K190" s="1431"/>
      <c r="L190" s="1431"/>
      <c r="M190" s="1431"/>
      <c r="N190" s="1431"/>
      <c r="O190" t="s">
        <v>592</v>
      </c>
      <c r="T190" s="1568">
        <v>3750</v>
      </c>
      <c r="U190" s="1568"/>
      <c r="V190" s="1568"/>
      <c r="W190" s="1568"/>
      <c r="X190" s="1568"/>
      <c r="Y190" s="1568"/>
      <c r="Z190" s="1568"/>
      <c r="AA190" s="1568"/>
      <c r="AB190" s="1568"/>
      <c r="AC190" s="1568"/>
      <c r="AD190" s="1568"/>
      <c r="AE190" s="1568"/>
      <c r="BC190" t="s">
        <v>1062</v>
      </c>
      <c r="BH190" t="s">
        <v>1062</v>
      </c>
      <c r="BN190" s="23" t="s">
        <v>641</v>
      </c>
      <c r="BT190" t="s">
        <v>68</v>
      </c>
    </row>
    <row r="191" spans="1:72" ht="12.95" customHeight="1">
      <c r="C191" s="21"/>
      <c r="D191" t="s">
        <v>469</v>
      </c>
      <c r="N191" s="1459" t="s">
        <v>2752</v>
      </c>
      <c r="O191" s="1459"/>
      <c r="P191" s="1459"/>
      <c r="Q191" s="1459"/>
      <c r="R191" s="1459"/>
      <c r="S191" s="1459"/>
      <c r="T191" s="1459"/>
      <c r="U191" s="1459"/>
      <c r="V191" s="1459"/>
      <c r="W191" s="1459"/>
      <c r="X191" s="1459"/>
      <c r="Y191" s="1459"/>
      <c r="Z191" s="1459"/>
      <c r="AA191" s="1459"/>
      <c r="AB191" s="1459"/>
      <c r="AC191" s="1459"/>
      <c r="AD191" s="1459"/>
      <c r="AE191" s="1459"/>
      <c r="BC191" t="s">
        <v>1061</v>
      </c>
      <c r="BH191" t="s">
        <v>1061</v>
      </c>
      <c r="BN191" s="23" t="s">
        <v>695</v>
      </c>
      <c r="BT191" t="s">
        <v>734</v>
      </c>
    </row>
    <row r="192" spans="1:72" ht="12.95" customHeight="1">
      <c r="C192" s="21"/>
      <c r="M192" s="40"/>
      <c r="N192" s="1460"/>
      <c r="O192" s="1460"/>
      <c r="P192" s="1460"/>
      <c r="Q192" s="1460"/>
      <c r="R192" s="1460"/>
      <c r="S192" s="1460"/>
      <c r="T192" s="1460"/>
      <c r="U192" s="1460"/>
      <c r="V192" s="1460"/>
      <c r="W192" s="1460"/>
      <c r="X192" s="1460"/>
      <c r="Y192" s="1460"/>
      <c r="Z192" s="1460"/>
      <c r="AA192" s="1460"/>
      <c r="AB192" s="1460"/>
      <c r="AC192" s="1460"/>
      <c r="AD192" s="1460"/>
      <c r="AE192" s="1460"/>
      <c r="BC192" t="s">
        <v>1064</v>
      </c>
      <c r="BH192" s="3" t="s">
        <v>1470</v>
      </c>
      <c r="BN192" s="23" t="s">
        <v>696</v>
      </c>
      <c r="BT192" t="s">
        <v>735</v>
      </c>
    </row>
    <row r="193" spans="1:74" ht="12.95" customHeight="1">
      <c r="C193" s="21"/>
      <c r="D193" t="s">
        <v>2393</v>
      </c>
      <c r="M193" s="40"/>
      <c r="N193" s="928"/>
      <c r="O193" s="928"/>
      <c r="P193" s="928"/>
      <c r="Q193" s="928"/>
      <c r="R193" s="928"/>
      <c r="S193" s="928"/>
      <c r="T193" s="1570" t="s">
        <v>2573</v>
      </c>
      <c r="U193" s="1570"/>
      <c r="V193" s="1570"/>
      <c r="W193" s="1570"/>
      <c r="X193" s="1570"/>
      <c r="Y193" s="1570"/>
      <c r="Z193" s="1570"/>
      <c r="AA193" s="1570"/>
      <c r="AB193" s="1570"/>
      <c r="AC193" s="1570"/>
      <c r="AD193" s="1570"/>
      <c r="AE193" s="1570"/>
      <c r="AF193" s="1570"/>
      <c r="AG193" s="1570"/>
      <c r="AH193" s="1570"/>
      <c r="AI193" s="1570"/>
      <c r="BC193" t="s">
        <v>1063</v>
      </c>
      <c r="BH193" s="3" t="s">
        <v>1737</v>
      </c>
      <c r="BN193" s="23" t="s">
        <v>697</v>
      </c>
      <c r="BT193" t="s">
        <v>736</v>
      </c>
    </row>
    <row r="194" spans="1:74" ht="12.95" customHeight="1">
      <c r="C194" s="21"/>
      <c r="D194" s="3" t="s">
        <v>2575</v>
      </c>
      <c r="M194" s="40"/>
      <c r="N194" s="928"/>
      <c r="O194" s="928"/>
      <c r="P194" s="928"/>
      <c r="Q194" s="928"/>
      <c r="R194" s="928"/>
      <c r="S194" s="928"/>
      <c r="AH194" s="1418" t="s">
        <v>675</v>
      </c>
      <c r="AI194" s="1418"/>
      <c r="BC194" t="s">
        <v>1470</v>
      </c>
      <c r="BN194" s="23" t="s">
        <v>698</v>
      </c>
      <c r="BT194" t="s">
        <v>737</v>
      </c>
    </row>
    <row r="195" spans="1:74" ht="12.95" customHeight="1">
      <c r="C195" s="21"/>
      <c r="D195" t="s">
        <v>331</v>
      </c>
      <c r="T195" s="1418" t="s">
        <v>675</v>
      </c>
      <c r="U195" s="1418"/>
      <c r="W195" t="s">
        <v>691</v>
      </c>
      <c r="AH195" s="1418">
        <v>8</v>
      </c>
      <c r="AI195" s="1418"/>
      <c r="BC195" t="s">
        <v>2043</v>
      </c>
      <c r="BN195" s="23" t="s">
        <v>242</v>
      </c>
      <c r="BT195" t="s">
        <v>738</v>
      </c>
    </row>
    <row r="196" spans="1:74" ht="12.95" customHeight="1">
      <c r="C196" s="21"/>
      <c r="D196" t="s">
        <v>386</v>
      </c>
      <c r="T196" s="1421" t="s">
        <v>552</v>
      </c>
      <c r="U196" s="1421"/>
      <c r="W196" t="s">
        <v>692</v>
      </c>
      <c r="AH196" s="1418">
        <v>14</v>
      </c>
      <c r="AI196" s="1418"/>
      <c r="BN196" s="23" t="s">
        <v>243</v>
      </c>
      <c r="BT196" t="s">
        <v>69</v>
      </c>
    </row>
    <row r="197" spans="1:74" ht="12.95" customHeight="1">
      <c r="C197" s="21"/>
      <c r="D197" s="3" t="s">
        <v>168</v>
      </c>
      <c r="T197" s="1421" t="s">
        <v>675</v>
      </c>
      <c r="U197" s="1421"/>
      <c r="W197" t="s">
        <v>693</v>
      </c>
      <c r="AH197" s="1418">
        <v>9</v>
      </c>
      <c r="AI197" s="1418"/>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21" t="s">
        <v>598</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18" t="s">
        <v>675</v>
      </c>
      <c r="AA199" s="1418"/>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11" t="s">
        <v>385</v>
      </c>
      <c r="E204" s="1511"/>
      <c r="F204" s="1511"/>
      <c r="G204" s="1511"/>
      <c r="H204" s="1511"/>
      <c r="I204" s="1511"/>
      <c r="J204" s="1511"/>
      <c r="K204" s="1511"/>
      <c r="L204" s="1511"/>
      <c r="M204" s="1511"/>
      <c r="P204" s="1554">
        <f>M26</f>
        <v>5864294</v>
      </c>
      <c r="Q204" s="1555"/>
      <c r="R204" s="1555"/>
      <c r="S204" s="1555"/>
      <c r="T204" s="1555"/>
      <c r="U204" s="1555"/>
      <c r="BC204" t="s">
        <v>617</v>
      </c>
      <c r="BN204" s="23" t="s">
        <v>710</v>
      </c>
      <c r="BT204" s="32" t="s">
        <v>197</v>
      </c>
      <c r="BU204" s="14"/>
    </row>
    <row r="205" spans="1:74" ht="12.95" customHeight="1">
      <c r="C205" s="21"/>
      <c r="D205" s="1573" t="s">
        <v>1352</v>
      </c>
      <c r="E205" s="1511"/>
      <c r="F205" s="1511"/>
      <c r="G205" s="1511"/>
      <c r="H205" s="1511"/>
      <c r="I205" s="1511"/>
      <c r="J205" s="1511"/>
      <c r="K205" s="1511"/>
      <c r="L205" s="1511"/>
      <c r="M205" s="1511"/>
      <c r="P205" s="1555">
        <f>M27</f>
        <v>0</v>
      </c>
      <c r="Q205" s="1555"/>
      <c r="R205" s="1555"/>
      <c r="S205" s="1555"/>
      <c r="T205" s="1555"/>
      <c r="U205" s="1555"/>
      <c r="V205" s="28"/>
      <c r="W205" s="3" t="s">
        <v>1905</v>
      </c>
      <c r="Z205" s="1560"/>
      <c r="AA205" s="1560"/>
      <c r="AB205" s="1560"/>
      <c r="AC205" s="1560"/>
      <c r="AD205" s="1560"/>
      <c r="AE205" s="1560"/>
      <c r="AF205" s="1560"/>
      <c r="AG205" s="1560"/>
      <c r="AH205" s="1560"/>
      <c r="AI205" s="1560"/>
      <c r="AJ205" s="1560"/>
      <c r="AK205" s="1560"/>
      <c r="AL205" s="1560"/>
      <c r="AM205" s="1560"/>
      <c r="AN205" s="1560"/>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30" t="s">
        <v>2739</v>
      </c>
      <c r="E208" s="1430"/>
      <c r="F208" s="1430"/>
      <c r="G208" s="1430"/>
      <c r="H208" s="1430"/>
      <c r="I208" s="1430"/>
      <c r="J208" s="1430"/>
      <c r="K208" s="1430"/>
      <c r="L208" s="1430"/>
      <c r="M208" s="1430"/>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30" t="s">
        <v>1062</v>
      </c>
      <c r="E211" s="1430"/>
      <c r="F211" s="1430"/>
      <c r="G211" s="1430"/>
      <c r="H211" s="1430"/>
      <c r="I211" s="1430"/>
      <c r="J211" s="1430"/>
      <c r="K211" s="1430"/>
      <c r="L211" s="1430"/>
      <c r="M211" s="1430"/>
      <c r="BN211" s="23" t="s">
        <v>129</v>
      </c>
      <c r="BT211" s="32" t="s">
        <v>130</v>
      </c>
    </row>
    <row r="212" spans="1:72" ht="12.95" customHeight="1">
      <c r="C212" s="21"/>
      <c r="D212" t="s">
        <v>1349</v>
      </c>
      <c r="Y212" s="1418"/>
      <c r="Z212" s="1418"/>
      <c r="AB212" s="1558">
        <f>IFERROR(Y212/AG440,"")</f>
        <v>0</v>
      </c>
      <c r="AC212" s="1559"/>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50" t="s">
        <v>598</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537</v>
      </c>
      <c r="BI214" t="s">
        <v>2629</v>
      </c>
      <c r="BN214" s="23" t="s">
        <v>326</v>
      </c>
      <c r="BT214" s="32" t="s">
        <v>205</v>
      </c>
    </row>
    <row r="215" spans="1:72" ht="12.95" customHeight="1">
      <c r="D215" s="3" t="s">
        <v>1761</v>
      </c>
      <c r="Z215" s="40"/>
      <c r="AB215" s="1464"/>
      <c r="AC215" s="1464"/>
      <c r="AD215" s="1464"/>
      <c r="AE215" s="1464"/>
      <c r="AF215" s="1464"/>
      <c r="AG215" s="1464"/>
      <c r="AH215" s="1464"/>
      <c r="AI215" s="1464"/>
      <c r="AJ215" s="1464"/>
      <c r="AK215" s="1464"/>
      <c r="AL215" s="1464"/>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64"/>
      <c r="AC216" s="1464"/>
      <c r="AD216" s="1464"/>
      <c r="AE216" s="1464"/>
      <c r="AF216" s="1464"/>
      <c r="AG216" s="1464"/>
      <c r="AH216" s="1464"/>
      <c r="AI216" s="1464"/>
      <c r="AJ216" s="1464"/>
      <c r="AK216" s="1464"/>
      <c r="AL216" s="1464"/>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30" t="s">
        <v>1089</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300</v>
      </c>
    </row>
    <row r="221" spans="1:72" ht="12.95" customHeight="1">
      <c r="A221" s="2"/>
      <c r="B221" s="14"/>
      <c r="C221" s="2"/>
      <c r="AU221" s="95"/>
      <c r="AV221" s="95"/>
      <c r="AW221" s="95"/>
      <c r="AX221" s="95"/>
      <c r="AY221" s="95"/>
      <c r="BA221" s="3"/>
    </row>
    <row r="222" spans="1:72" ht="12.95" customHeight="1">
      <c r="A222" s="1547" t="s">
        <v>547</v>
      </c>
      <c r="B222" s="1547"/>
      <c r="C222" s="1547"/>
      <c r="D222" s="1547"/>
      <c r="E222" s="1547"/>
      <c r="F222" s="1547"/>
      <c r="G222" s="1547"/>
      <c r="H222" s="1547"/>
      <c r="I222" s="1547"/>
      <c r="J222" s="1547"/>
      <c r="K222" s="1547"/>
      <c r="L222" s="1547"/>
      <c r="M222" s="1547"/>
      <c r="N222" s="1547"/>
      <c r="O222" s="1547"/>
      <c r="P222" s="1547"/>
      <c r="Q222" s="1547"/>
      <c r="R222" s="1547"/>
      <c r="S222" s="1547"/>
      <c r="T222" s="1547"/>
      <c r="U222" s="1547"/>
      <c r="V222" s="1547"/>
      <c r="W222" s="1547"/>
      <c r="X222" s="1547"/>
      <c r="Y222" s="1547"/>
      <c r="Z222" s="1547"/>
      <c r="AA222" s="1547"/>
      <c r="AB222" s="1547"/>
      <c r="AC222" s="1547"/>
      <c r="AD222" s="1547"/>
      <c r="AE222" s="1547"/>
      <c r="AF222" s="1547"/>
      <c r="AG222" s="1547"/>
      <c r="AH222" s="1547"/>
      <c r="AI222" s="1547"/>
      <c r="AJ222" s="1547"/>
      <c r="AK222" s="1547"/>
      <c r="AL222" s="1547"/>
      <c r="AM222" s="1547"/>
      <c r="AN222" s="1547"/>
      <c r="AO222" s="1547"/>
      <c r="AP222" s="1547"/>
      <c r="AQ222" s="1547"/>
      <c r="AR222" s="1547"/>
      <c r="AS222" s="1547"/>
      <c r="AT222" s="1547"/>
      <c r="AU222" s="95"/>
      <c r="AV222" s="95"/>
      <c r="AW222" s="95"/>
      <c r="AX222" s="95"/>
      <c r="AY222" s="95"/>
      <c r="AZ222" s="3"/>
      <c r="BA222" s="3"/>
      <c r="BP222" s="34"/>
    </row>
    <row r="223" spans="1:72" ht="12.95" customHeight="1">
      <c r="A223" s="1547"/>
      <c r="B223" s="1547"/>
      <c r="C223" s="1547"/>
      <c r="D223" s="1547"/>
      <c r="E223" s="1547"/>
      <c r="F223" s="1547"/>
      <c r="G223" s="1547"/>
      <c r="H223" s="1547"/>
      <c r="I223" s="1547"/>
      <c r="J223" s="1547"/>
      <c r="K223" s="1547"/>
      <c r="L223" s="1547"/>
      <c r="M223" s="1547"/>
      <c r="N223" s="1547"/>
      <c r="O223" s="1547"/>
      <c r="P223" s="1547"/>
      <c r="Q223" s="1547"/>
      <c r="R223" s="1547"/>
      <c r="S223" s="1547"/>
      <c r="T223" s="1547"/>
      <c r="U223" s="1547"/>
      <c r="V223" s="1547"/>
      <c r="W223" s="1547"/>
      <c r="X223" s="1547"/>
      <c r="Y223" s="1547"/>
      <c r="Z223" s="1547"/>
      <c r="AA223" s="1547"/>
      <c r="AB223" s="1547"/>
      <c r="AC223" s="1547"/>
      <c r="AD223" s="1547"/>
      <c r="AE223" s="1547"/>
      <c r="AF223" s="1547"/>
      <c r="AG223" s="1547"/>
      <c r="AH223" s="1547"/>
      <c r="AI223" s="1547"/>
      <c r="AJ223" s="1547"/>
      <c r="AK223" s="1547"/>
      <c r="AL223" s="1547"/>
      <c r="AM223" s="1547"/>
      <c r="AN223" s="1547"/>
      <c r="AO223" s="1547"/>
      <c r="AP223" s="1547"/>
      <c r="AQ223" s="1547"/>
      <c r="AR223" s="1547"/>
      <c r="AS223" s="1547"/>
      <c r="AT223" s="1547"/>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552</v>
      </c>
      <c r="AJ226" s="1418"/>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598</v>
      </c>
      <c r="AJ227" s="1418"/>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598</v>
      </c>
      <c r="AJ228" s="1418"/>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598</v>
      </c>
      <c r="AJ229" s="1418"/>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9" t="str">
        <f>H16</f>
        <v>Richmond Metrowalk Associates, a California Limited Partnership</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4" t="s">
        <v>2644</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545</v>
      </c>
      <c r="BG233" s="259">
        <f>IF(AND(AND($M$249="nonprofit",$M$257="for profit",$M$265="nonprofit")),2,0)</f>
        <v>0</v>
      </c>
    </row>
    <row r="234" spans="1:69" ht="12.95" customHeight="1">
      <c r="D234" s="4" t="s">
        <v>587</v>
      </c>
      <c r="E234" s="4"/>
      <c r="M234" s="1524" t="s">
        <v>2640</v>
      </c>
      <c r="N234" s="1430"/>
      <c r="O234" s="1430"/>
      <c r="P234" s="1430"/>
      <c r="Q234" s="1430"/>
      <c r="R234" s="1430"/>
      <c r="S234" s="1430"/>
      <c r="T234" s="1430"/>
      <c r="V234" s="33" t="s">
        <v>86</v>
      </c>
      <c r="W234" s="1523" t="s">
        <v>2645</v>
      </c>
      <c r="X234" s="1419"/>
      <c r="Y234" s="4" t="s">
        <v>590</v>
      </c>
      <c r="AC234" s="1430">
        <v>83616</v>
      </c>
      <c r="AD234" s="1430"/>
      <c r="AE234" s="1430"/>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4" t="s">
        <v>2642</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510" t="s">
        <v>2646</v>
      </c>
      <c r="N236" s="1435"/>
      <c r="O236" s="1435"/>
      <c r="P236" s="1435"/>
      <c r="Q236" s="1435"/>
      <c r="R236" s="1435"/>
      <c r="S236" s="4" t="s">
        <v>206</v>
      </c>
      <c r="T236" s="4"/>
      <c r="U236" s="1419">
        <v>3015</v>
      </c>
      <c r="V236" s="1419"/>
      <c r="W236" s="1419"/>
      <c r="X236" s="4" t="s">
        <v>89</v>
      </c>
      <c r="Z236" s="1510" t="s">
        <v>2647</v>
      </c>
      <c r="AA236" s="1435"/>
      <c r="AB236" s="1435"/>
      <c r="AC236" s="1435"/>
      <c r="AD236" s="1435"/>
      <c r="AE236" s="1435"/>
      <c r="AU236" s="4"/>
      <c r="AV236" s="4"/>
      <c r="AW236" s="4"/>
      <c r="AX236" s="4"/>
      <c r="AY236" s="4"/>
      <c r="AZ236" s="4"/>
      <c r="BB236" s="218" t="s">
        <v>544</v>
      </c>
      <c r="BG236" s="259">
        <f>IF(AND(AND($M$249="nonprofit",$M$257="nonprofit",$M$265="(select one)")),1,0)</f>
        <v>0</v>
      </c>
    </row>
    <row r="237" spans="1:69" ht="12.95" customHeight="1">
      <c r="D237" s="4" t="s">
        <v>90</v>
      </c>
      <c r="E237" s="4"/>
      <c r="F237" s="4"/>
      <c r="M237" s="1537" t="s">
        <v>2648</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1" t="s">
        <v>535</v>
      </c>
      <c r="N238" s="1431"/>
      <c r="O238" s="1431"/>
      <c r="P238" s="1431"/>
      <c r="Q238" s="1431"/>
      <c r="R238" s="1431"/>
      <c r="S238" s="1431"/>
      <c r="T238" s="1431"/>
      <c r="U238" s="218" t="s">
        <v>919</v>
      </c>
      <c r="V238" s="218"/>
      <c r="W238" s="218"/>
      <c r="X238" s="218"/>
      <c r="Y238" s="218"/>
      <c r="Z238" s="218"/>
      <c r="AA238" s="1542" t="s">
        <v>598</v>
      </c>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9" t="s">
        <v>2649</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2650</v>
      </c>
      <c r="AG243" s="1540"/>
      <c r="AH243" s="1540"/>
      <c r="AI243" s="1540"/>
      <c r="AJ243" s="1540"/>
      <c r="AK243" s="1540"/>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4" t="s">
        <v>2651</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4" t="s">
        <v>55</v>
      </c>
      <c r="N245" s="1430"/>
      <c r="O245" s="1430"/>
      <c r="P245" s="1430"/>
      <c r="Q245" s="1430"/>
      <c r="R245" s="1430"/>
      <c r="S245" s="1430"/>
      <c r="T245" s="1430"/>
      <c r="V245" s="33" t="s">
        <v>86</v>
      </c>
      <c r="W245" s="1523" t="s">
        <v>2652</v>
      </c>
      <c r="X245" s="1419"/>
      <c r="Y245" s="4" t="s">
        <v>590</v>
      </c>
      <c r="AC245" s="1430">
        <v>95348</v>
      </c>
      <c r="AD245" s="1430"/>
      <c r="AE245" s="1430"/>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4" t="s">
        <v>2653</v>
      </c>
      <c r="N246" s="1430"/>
      <c r="O246" s="1430"/>
      <c r="P246" s="1430"/>
      <c r="Q246" s="1430"/>
      <c r="R246" s="1430"/>
      <c r="S246" s="1430"/>
      <c r="T246" s="1430"/>
      <c r="U246" s="1430"/>
      <c r="V246" s="1430"/>
      <c r="W246" s="1430"/>
      <c r="X246" s="1430"/>
      <c r="Y246" s="1430"/>
      <c r="Z246" s="1430"/>
      <c r="AA246" s="1430"/>
      <c r="AB246" s="1430"/>
      <c r="AC246" s="1430"/>
      <c r="AD246" s="1430"/>
      <c r="AE246" s="1430"/>
      <c r="AH246" s="1546">
        <v>1E-3</v>
      </c>
      <c r="AI246" s="1546"/>
      <c r="AJ246" s="1546"/>
      <c r="AK246" s="1546"/>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0" t="s">
        <v>2654</v>
      </c>
      <c r="N247" s="1435"/>
      <c r="O247" s="1435"/>
      <c r="P247" s="1435"/>
      <c r="Q247" s="1435"/>
      <c r="R247" s="1435"/>
      <c r="S247" s="4" t="s">
        <v>206</v>
      </c>
      <c r="T247" s="4"/>
      <c r="U247" s="1419"/>
      <c r="V247" s="1419"/>
      <c r="W247" s="1419"/>
      <c r="X247" s="4" t="s">
        <v>89</v>
      </c>
      <c r="Z247" s="1510" t="s">
        <v>2655</v>
      </c>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7" t="s">
        <v>2656</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1" t="s">
        <v>541</v>
      </c>
      <c r="N249" s="1431"/>
      <c r="O249" s="1431"/>
      <c r="P249" s="1431"/>
      <c r="Q249" s="1431"/>
      <c r="R249" s="1431"/>
      <c r="S249" s="1431"/>
      <c r="T249" s="1431"/>
      <c r="U249" s="218" t="s">
        <v>919</v>
      </c>
      <c r="V249" s="218"/>
      <c r="W249" s="218"/>
      <c r="X249" s="218"/>
      <c r="Y249" s="218"/>
      <c r="Z249" s="218"/>
      <c r="AA249" s="1542" t="s">
        <v>598</v>
      </c>
      <c r="AB249" s="1543"/>
      <c r="AC249" s="1543"/>
      <c r="AD249" s="1543"/>
      <c r="AE249" s="1543"/>
      <c r="AF249" s="1543"/>
      <c r="AG249" s="1543"/>
      <c r="AH249" s="1543"/>
      <c r="AI249" s="1543"/>
      <c r="AJ249" s="1543"/>
      <c r="AK249" s="154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9" t="s">
        <v>2657</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2658</v>
      </c>
      <c r="AG251" s="1540"/>
      <c r="AH251" s="1540"/>
      <c r="AI251" s="1540"/>
      <c r="AJ251" s="1540"/>
      <c r="AK251" s="1540"/>
      <c r="AU251" s="4"/>
      <c r="AV251" s="4"/>
      <c r="AW251" s="4"/>
      <c r="AX251" s="4"/>
      <c r="AY251" s="4"/>
      <c r="BN251" s="34"/>
    </row>
    <row r="252" spans="1:71" ht="12.95" customHeight="1">
      <c r="A252" s="19"/>
      <c r="B252" s="4"/>
      <c r="C252" s="4"/>
      <c r="D252" s="4" t="s">
        <v>85</v>
      </c>
      <c r="E252" s="4"/>
      <c r="F252" s="4"/>
      <c r="G252" s="4"/>
      <c r="H252" s="4"/>
      <c r="I252" s="4"/>
      <c r="J252" s="4"/>
      <c r="K252" s="4"/>
      <c r="L252" s="4"/>
      <c r="M252" s="1524" t="s">
        <v>2644</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1282</v>
      </c>
      <c r="AL252" s="4"/>
      <c r="AM252" s="4"/>
      <c r="AN252" s="4"/>
      <c r="AO252" s="4"/>
      <c r="AP252" s="4"/>
      <c r="AQ252" s="4"/>
      <c r="AR252" s="4"/>
      <c r="AS252" s="4"/>
      <c r="AT252" s="4"/>
      <c r="BN252" s="34"/>
    </row>
    <row r="253" spans="1:71" ht="12.95" customHeight="1">
      <c r="A253" s="19"/>
      <c r="B253" s="4"/>
      <c r="C253" s="4"/>
      <c r="D253" s="4" t="s">
        <v>587</v>
      </c>
      <c r="E253" s="4"/>
      <c r="M253" s="1524" t="s">
        <v>2640</v>
      </c>
      <c r="N253" s="1430"/>
      <c r="O253" s="1430"/>
      <c r="P253" s="1430"/>
      <c r="Q253" s="1430"/>
      <c r="R253" s="1430"/>
      <c r="S253" s="1430"/>
      <c r="T253" s="1430"/>
      <c r="V253" s="33" t="s">
        <v>86</v>
      </c>
      <c r="W253" s="1523" t="s">
        <v>2645</v>
      </c>
      <c r="X253" s="1419"/>
      <c r="Y253" s="4" t="s">
        <v>590</v>
      </c>
      <c r="AC253" s="1430">
        <v>83616</v>
      </c>
      <c r="AD253" s="1430"/>
      <c r="AE253" s="1430"/>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4" t="s">
        <v>2642</v>
      </c>
      <c r="N254" s="1430"/>
      <c r="O254" s="1430"/>
      <c r="P254" s="1430"/>
      <c r="Q254" s="1430"/>
      <c r="R254" s="1430"/>
      <c r="S254" s="1430"/>
      <c r="T254" s="1430"/>
      <c r="U254" s="1430"/>
      <c r="V254" s="1430"/>
      <c r="W254" s="1430"/>
      <c r="X254" s="1430"/>
      <c r="Y254" s="1430"/>
      <c r="Z254" s="1430"/>
      <c r="AA254" s="1430"/>
      <c r="AB254" s="1430"/>
      <c r="AC254" s="1430"/>
      <c r="AD254" s="1430"/>
      <c r="AE254" s="1430"/>
      <c r="AH254" s="1546">
        <v>8.9999999999999993E-3</v>
      </c>
      <c r="AI254" s="1546"/>
      <c r="AJ254" s="1546"/>
      <c r="AK254" s="1546"/>
      <c r="AL254" s="4"/>
      <c r="AM254" s="4"/>
      <c r="AN254" s="4"/>
      <c r="AO254" s="4"/>
      <c r="AP254" s="4"/>
      <c r="AQ254" s="4"/>
      <c r="AR254" s="4"/>
      <c r="AS254" s="4"/>
      <c r="AT254" s="4"/>
    </row>
    <row r="255" spans="1:71" ht="12.95" customHeight="1">
      <c r="A255" s="19"/>
      <c r="B255" s="4"/>
      <c r="C255" s="4"/>
      <c r="D255" s="4" t="s">
        <v>88</v>
      </c>
      <c r="E255" s="4"/>
      <c r="F255" s="4"/>
      <c r="M255" s="1510" t="s">
        <v>2646</v>
      </c>
      <c r="N255" s="1435"/>
      <c r="O255" s="1435"/>
      <c r="P255" s="1435"/>
      <c r="Q255" s="1435"/>
      <c r="R255" s="1435"/>
      <c r="S255" s="4" t="s">
        <v>206</v>
      </c>
      <c r="T255" s="4"/>
      <c r="U255" s="1419">
        <v>3015</v>
      </c>
      <c r="V255" s="1419"/>
      <c r="W255" s="1419"/>
      <c r="X255" s="4" t="s">
        <v>89</v>
      </c>
      <c r="Z255" s="1510" t="s">
        <v>2647</v>
      </c>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7" t="s">
        <v>2648</v>
      </c>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1" t="s">
        <v>543</v>
      </c>
      <c r="N257" s="1431"/>
      <c r="O257" s="1431"/>
      <c r="P257" s="1431"/>
      <c r="Q257" s="1431"/>
      <c r="R257" s="1431"/>
      <c r="S257" s="1431"/>
      <c r="T257" s="1431"/>
      <c r="U257" s="218" t="s">
        <v>919</v>
      </c>
      <c r="V257" s="218"/>
      <c r="W257" s="218"/>
      <c r="X257" s="218"/>
      <c r="Y257" s="218"/>
      <c r="Z257" s="218"/>
      <c r="AA257" s="1542" t="s">
        <v>2659</v>
      </c>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9"/>
      <c r="N259" s="1540"/>
      <c r="O259" s="1540"/>
      <c r="P259" s="1540"/>
      <c r="Q259" s="1540"/>
      <c r="R259" s="1540"/>
      <c r="S259" s="1540"/>
      <c r="T259" s="1540"/>
      <c r="U259" s="1540"/>
      <c r="V259" s="1540"/>
      <c r="W259" s="1540"/>
      <c r="X259" s="1540"/>
      <c r="Y259" s="1540"/>
      <c r="Z259" s="1540"/>
      <c r="AA259" s="1540"/>
      <c r="AB259" s="1540"/>
      <c r="AC259" s="1540"/>
      <c r="AD259" s="1540"/>
      <c r="AE259" s="1540"/>
      <c r="AF259" s="1540"/>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4"/>
      <c r="N260" s="1430"/>
      <c r="O260" s="1430"/>
      <c r="P260" s="1430"/>
      <c r="Q260" s="1430"/>
      <c r="R260" s="1430"/>
      <c r="S260" s="1430"/>
      <c r="T260" s="1430"/>
      <c r="U260" s="1430"/>
      <c r="V260" s="1430"/>
      <c r="W260" s="1430"/>
      <c r="X260" s="1430"/>
      <c r="Y260" s="1430"/>
      <c r="Z260" s="1430"/>
      <c r="AA260" s="1430"/>
      <c r="AB260" s="1430"/>
      <c r="AC260" s="1430"/>
      <c r="AD260" s="1430"/>
      <c r="AE260" s="1430"/>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4"/>
      <c r="N261" s="1430"/>
      <c r="O261" s="1430"/>
      <c r="P261" s="1430"/>
      <c r="Q261" s="1430"/>
      <c r="R261" s="1430"/>
      <c r="S261" s="1430"/>
      <c r="T261" s="1430"/>
      <c r="V261" s="33" t="s">
        <v>86</v>
      </c>
      <c r="W261" s="1523"/>
      <c r="X261" s="1419"/>
      <c r="Y261" s="4" t="s">
        <v>590</v>
      </c>
      <c r="AC261" s="1430"/>
      <c r="AD261" s="1430"/>
      <c r="AE261" s="1430"/>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4"/>
      <c r="N262" s="1430"/>
      <c r="O262" s="1430"/>
      <c r="P262" s="1430"/>
      <c r="Q262" s="1430"/>
      <c r="R262" s="1430"/>
      <c r="S262" s="1430"/>
      <c r="T262" s="1430"/>
      <c r="U262" s="1430"/>
      <c r="V262" s="1430"/>
      <c r="W262" s="1430"/>
      <c r="X262" s="1430"/>
      <c r="Y262" s="1430"/>
      <c r="Z262" s="1430"/>
      <c r="AA262" s="1430"/>
      <c r="AB262" s="1430"/>
      <c r="AC262" s="1430"/>
      <c r="AD262" s="1430"/>
      <c r="AE262" s="1430"/>
      <c r="AH262" s="1546"/>
      <c r="AI262" s="1546"/>
      <c r="AJ262" s="1546"/>
      <c r="AK262" s="154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0"/>
      <c r="N263" s="1435"/>
      <c r="O263" s="1435"/>
      <c r="P263" s="1435"/>
      <c r="Q263" s="1435"/>
      <c r="R263" s="1435"/>
      <c r="S263" s="4" t="s">
        <v>206</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1" t="s">
        <v>307</v>
      </c>
      <c r="N265" s="1431"/>
      <c r="O265" s="1431"/>
      <c r="P265" s="1431"/>
      <c r="Q265" s="1431"/>
      <c r="R265" s="1431"/>
      <c r="S265" s="1431"/>
      <c r="T265" s="1431"/>
      <c r="U265" s="218" t="s">
        <v>919</v>
      </c>
      <c r="V265" s="218"/>
      <c r="W265" s="218"/>
      <c r="X265" s="218"/>
      <c r="Y265" s="218"/>
      <c r="Z265" s="218"/>
      <c r="AA265" s="1544"/>
      <c r="AB265" s="1545"/>
      <c r="AC265" s="1545"/>
      <c r="AD265" s="1545"/>
      <c r="AE265" s="1545"/>
      <c r="AF265" s="1545"/>
      <c r="AG265" s="1545"/>
      <c r="AH265" s="1545"/>
      <c r="AI265" s="1545"/>
      <c r="AJ265" s="1545"/>
      <c r="AK265" s="154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41" t="str">
        <f>IFERROR(BO245,"")</f>
        <v>Joint Venture</v>
      </c>
      <c r="U267" s="1541"/>
      <c r="V267" s="1541"/>
      <c r="W267" s="1541"/>
      <c r="X267" s="1541"/>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30" t="s">
        <v>280</v>
      </c>
      <c r="E270" s="1430"/>
      <c r="F270" s="1430"/>
      <c r="G270" s="1430"/>
      <c r="H270" s="1430"/>
      <c r="J270" t="s">
        <v>279</v>
      </c>
      <c r="X270" s="1536"/>
      <c r="Y270" s="1536"/>
      <c r="Z270" s="1536"/>
      <c r="AA270" s="1536"/>
      <c r="AB270" s="1536"/>
      <c r="AC270" s="1536"/>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9" t="s">
        <v>2660</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4" t="s">
        <v>2644</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4" t="s">
        <v>2640</v>
      </c>
      <c r="M276" s="1430"/>
      <c r="N276" s="1430"/>
      <c r="O276" s="1430"/>
      <c r="P276" s="1430"/>
      <c r="Q276" s="1430"/>
      <c r="R276" s="1430"/>
      <c r="S276" s="1430"/>
      <c r="U276" s="33" t="s">
        <v>86</v>
      </c>
      <c r="V276" s="1523" t="s">
        <v>2645</v>
      </c>
      <c r="W276" s="1419"/>
      <c r="X276" s="4" t="s">
        <v>590</v>
      </c>
      <c r="AB276" s="1430">
        <v>83616</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4" t="s">
        <v>2661</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510" t="s">
        <v>2662</v>
      </c>
      <c r="M278" s="1435"/>
      <c r="N278" s="1435"/>
      <c r="O278" s="1435"/>
      <c r="P278" s="1435"/>
      <c r="Q278" s="1435"/>
      <c r="R278" s="4" t="s">
        <v>206</v>
      </c>
      <c r="S278" s="4"/>
      <c r="T278" s="1419"/>
      <c r="U278" s="1419"/>
      <c r="V278" s="1419"/>
      <c r="W278" s="4" t="s">
        <v>89</v>
      </c>
      <c r="Y278" s="1510" t="s">
        <v>2647</v>
      </c>
      <c r="Z278" s="1435"/>
      <c r="AA278" s="1435"/>
      <c r="AB278" s="1435"/>
      <c r="AC278" s="1435"/>
      <c r="AD278" s="1435"/>
      <c r="BN278" s="34"/>
    </row>
    <row r="279" spans="1:66" ht="12.95" customHeight="1">
      <c r="D279" s="4" t="s">
        <v>90</v>
      </c>
      <c r="E279" s="4"/>
      <c r="F279" s="4"/>
      <c r="L279" s="1537" t="s">
        <v>2663</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2.95" customHeight="1">
      <c r="D280" s="3" t="s">
        <v>630</v>
      </c>
      <c r="E280" s="3"/>
      <c r="F280" s="3"/>
      <c r="G280" s="3"/>
      <c r="H280" s="3"/>
      <c r="I280" s="3"/>
      <c r="L280" s="1523" t="s">
        <v>2664</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7" t="s">
        <v>548</v>
      </c>
      <c r="B282" s="1547"/>
      <c r="C282" s="1547"/>
      <c r="D282" s="1547"/>
      <c r="E282" s="1547"/>
      <c r="F282" s="1547"/>
      <c r="G282" s="1547"/>
      <c r="H282" s="1547"/>
      <c r="I282" s="1547"/>
      <c r="J282" s="1547"/>
      <c r="K282" s="1547"/>
      <c r="L282" s="1547"/>
      <c r="M282" s="1547"/>
      <c r="N282" s="1547"/>
      <c r="O282" s="1547"/>
      <c r="P282" s="1547"/>
      <c r="Q282" s="1547"/>
      <c r="R282" s="1547"/>
      <c r="S282" s="1547"/>
      <c r="T282" s="1547"/>
      <c r="U282" s="1547"/>
      <c r="V282" s="1547"/>
      <c r="W282" s="1547"/>
      <c r="X282" s="1547"/>
      <c r="Y282" s="1547"/>
      <c r="Z282" s="1547"/>
      <c r="AA282" s="1547"/>
      <c r="AB282" s="1547"/>
      <c r="AC282" s="1547"/>
      <c r="AD282" s="1547"/>
      <c r="AE282" s="1547"/>
      <c r="AF282" s="1547"/>
      <c r="AG282" s="1547"/>
      <c r="AH282" s="1547"/>
      <c r="AI282" s="1547"/>
      <c r="AJ282" s="1547"/>
      <c r="AK282" s="1547"/>
      <c r="AL282" s="1547"/>
      <c r="AM282" s="1547"/>
      <c r="AN282" s="1547"/>
      <c r="AO282" s="1547"/>
      <c r="AP282" s="1547"/>
      <c r="AQ282" s="1547"/>
      <c r="AR282" s="1547"/>
      <c r="AS282" s="1547"/>
      <c r="AT282" s="1547"/>
      <c r="AU282" s="95"/>
      <c r="AV282" s="95"/>
      <c r="AW282" s="95"/>
      <c r="AX282" s="95"/>
      <c r="AY282" s="95"/>
      <c r="BN282" s="34"/>
    </row>
    <row r="283" spans="1:66" ht="12.95" customHeight="1">
      <c r="A283" s="1547"/>
      <c r="B283" s="1547"/>
      <c r="C283" s="1547"/>
      <c r="D283" s="1547"/>
      <c r="E283" s="1547"/>
      <c r="F283" s="1547"/>
      <c r="G283" s="1547"/>
      <c r="H283" s="1547"/>
      <c r="I283" s="1547"/>
      <c r="J283" s="1547"/>
      <c r="K283" s="1547"/>
      <c r="L283" s="1547"/>
      <c r="M283" s="1547"/>
      <c r="N283" s="1547"/>
      <c r="O283" s="1547"/>
      <c r="P283" s="1547"/>
      <c r="Q283" s="1547"/>
      <c r="R283" s="1547"/>
      <c r="S283" s="1547"/>
      <c r="T283" s="1547"/>
      <c r="U283" s="1547"/>
      <c r="V283" s="1547"/>
      <c r="W283" s="1547"/>
      <c r="X283" s="1547"/>
      <c r="Y283" s="1547"/>
      <c r="Z283" s="1547"/>
      <c r="AA283" s="1547"/>
      <c r="AB283" s="1547"/>
      <c r="AC283" s="1547"/>
      <c r="AD283" s="1547"/>
      <c r="AE283" s="1547"/>
      <c r="AF283" s="1547"/>
      <c r="AG283" s="1547"/>
      <c r="AH283" s="1547"/>
      <c r="AI283" s="1547"/>
      <c r="AJ283" s="1547"/>
      <c r="AK283" s="1547"/>
      <c r="AL283" s="1547"/>
      <c r="AM283" s="1547"/>
      <c r="AN283" s="1547"/>
      <c r="AO283" s="1547"/>
      <c r="AP283" s="1547"/>
      <c r="AQ283" s="1547"/>
      <c r="AR283" s="1547"/>
      <c r="AS283" s="1547"/>
      <c r="AT283" s="154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32" t="s">
        <v>2660</v>
      </c>
      <c r="I287" s="1432"/>
      <c r="J287" s="1432"/>
      <c r="K287" s="1432"/>
      <c r="L287" s="1432"/>
      <c r="M287" s="1432"/>
      <c r="N287" s="1432"/>
      <c r="O287" s="1432"/>
      <c r="P287" s="1432"/>
      <c r="Q287" s="1432"/>
      <c r="R287" s="1432"/>
      <c r="T287" s="3" t="s">
        <v>574</v>
      </c>
      <c r="V287" s="3"/>
      <c r="W287" s="3"/>
      <c r="X287" s="3"/>
      <c r="Y287" s="3"/>
      <c r="AA287" s="1432" t="s">
        <v>2665</v>
      </c>
      <c r="AB287" s="1432"/>
      <c r="AC287" s="1432"/>
      <c r="AD287" s="1432"/>
      <c r="AE287" s="1432"/>
      <c r="AF287" s="1432"/>
      <c r="AG287" s="1432"/>
      <c r="AH287" s="1432"/>
      <c r="AI287" s="1432"/>
      <c r="AJ287" s="1432"/>
      <c r="AK287" s="1432"/>
      <c r="BN287" s="34"/>
    </row>
    <row r="288" spans="1:66" ht="12.95" customHeight="1">
      <c r="B288" s="3" t="s">
        <v>478</v>
      </c>
      <c r="C288" s="3"/>
      <c r="D288" s="3"/>
      <c r="E288" s="3"/>
      <c r="F288" s="3"/>
      <c r="H288" s="1431" t="s">
        <v>2644</v>
      </c>
      <c r="I288" s="1431"/>
      <c r="J288" s="1431"/>
      <c r="K288" s="1431"/>
      <c r="L288" s="1431"/>
      <c r="M288" s="1431"/>
      <c r="N288" s="1431"/>
      <c r="O288" s="1431"/>
      <c r="P288" s="1431"/>
      <c r="Q288" s="1431"/>
      <c r="R288" s="1431"/>
      <c r="T288" s="3" t="s">
        <v>478</v>
      </c>
      <c r="V288" s="3"/>
      <c r="W288" s="3"/>
      <c r="X288" s="3"/>
      <c r="Y288" s="3"/>
      <c r="AA288" s="1431" t="s">
        <v>2666</v>
      </c>
      <c r="AB288" s="1431"/>
      <c r="AC288" s="1431"/>
      <c r="AD288" s="1431"/>
      <c r="AE288" s="1431"/>
      <c r="AF288" s="1431"/>
      <c r="AG288" s="1431"/>
      <c r="AH288" s="1431"/>
      <c r="AI288" s="1431"/>
      <c r="AJ288" s="1431"/>
      <c r="AK288" s="1431"/>
      <c r="BN288" s="34"/>
    </row>
    <row r="289" spans="2:66" ht="12.95" customHeight="1">
      <c r="B289" s="3" t="s">
        <v>479</v>
      </c>
      <c r="C289" s="3"/>
      <c r="D289" s="3"/>
      <c r="E289" s="3"/>
      <c r="F289" s="3"/>
      <c r="H289" s="1431" t="s">
        <v>2667</v>
      </c>
      <c r="I289" s="1431"/>
      <c r="J289" s="1431"/>
      <c r="K289" s="1431"/>
      <c r="L289" s="1431"/>
      <c r="M289" s="1431"/>
      <c r="N289" s="1431"/>
      <c r="O289" s="1431"/>
      <c r="P289" s="1431"/>
      <c r="Q289" s="1431"/>
      <c r="R289" s="1431"/>
      <c r="T289" s="3" t="s">
        <v>75</v>
      </c>
      <c r="V289" s="3"/>
      <c r="W289" s="3"/>
      <c r="X289" s="3"/>
      <c r="Y289" s="3"/>
      <c r="AA289" s="1431" t="s">
        <v>2668</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2642</v>
      </c>
      <c r="I290" s="1431"/>
      <c r="J290" s="1431"/>
      <c r="K290" s="1431"/>
      <c r="L290" s="1431"/>
      <c r="M290" s="1431"/>
      <c r="N290" s="1431"/>
      <c r="O290" s="1431"/>
      <c r="P290" s="1431"/>
      <c r="Q290" s="1431"/>
      <c r="R290" s="1431"/>
      <c r="T290" s="3" t="s">
        <v>87</v>
      </c>
      <c r="V290" s="3"/>
      <c r="W290" s="3"/>
      <c r="X290" s="3"/>
      <c r="Y290" s="3"/>
      <c r="AA290" s="1431" t="s">
        <v>2669</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21" t="s">
        <v>2646</v>
      </c>
      <c r="I291" s="1522"/>
      <c r="J291" s="1522"/>
      <c r="K291" s="1522"/>
      <c r="L291" s="1522"/>
      <c r="M291" s="1522"/>
      <c r="N291" s="4" t="s">
        <v>206</v>
      </c>
      <c r="O291" s="4"/>
      <c r="P291" s="1430">
        <v>3015</v>
      </c>
      <c r="Q291" s="1430"/>
      <c r="R291" s="1430"/>
      <c r="S291" s="3"/>
      <c r="T291" s="3" t="s">
        <v>88</v>
      </c>
      <c r="V291" s="3"/>
      <c r="W291" s="3"/>
      <c r="X291" s="3"/>
      <c r="Y291" s="3"/>
      <c r="AA291" s="1521" t="s">
        <v>2670</v>
      </c>
      <c r="AB291" s="1522"/>
      <c r="AC291" s="1522"/>
      <c r="AD291" s="1522"/>
      <c r="AE291" s="1522"/>
      <c r="AF291" s="1522"/>
      <c r="AG291" s="4" t="s">
        <v>206</v>
      </c>
      <c r="AH291" s="4"/>
      <c r="AI291" s="1430"/>
      <c r="AJ291" s="1430"/>
      <c r="AK291" s="1430"/>
      <c r="BN291" s="34"/>
    </row>
    <row r="292" spans="2:66" ht="12.95" customHeight="1">
      <c r="B292" s="3" t="s">
        <v>89</v>
      </c>
      <c r="C292" s="3"/>
      <c r="D292" s="3"/>
      <c r="E292" s="3"/>
      <c r="F292" s="3"/>
      <c r="G292" s="3"/>
      <c r="H292" s="1510" t="s">
        <v>2647</v>
      </c>
      <c r="I292" s="1435"/>
      <c r="J292" s="1435"/>
      <c r="K292" s="1435"/>
      <c r="L292" s="1435"/>
      <c r="M292" s="1435"/>
      <c r="N292" s="4"/>
      <c r="O292" s="4"/>
      <c r="P292" s="35"/>
      <c r="Q292" s="35"/>
      <c r="R292" s="35"/>
      <c r="S292" s="3"/>
      <c r="T292" s="3" t="s">
        <v>89</v>
      </c>
      <c r="V292" s="3"/>
      <c r="W292" s="3"/>
      <c r="X292" s="3"/>
      <c r="Y292" s="3"/>
      <c r="AA292" s="1510" t="s">
        <v>2671</v>
      </c>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2648</v>
      </c>
      <c r="I293" s="1431"/>
      <c r="J293" s="1431"/>
      <c r="K293" s="1431"/>
      <c r="L293" s="1431"/>
      <c r="M293" s="1431"/>
      <c r="N293" s="1432"/>
      <c r="O293" s="1432"/>
      <c r="P293" s="1432"/>
      <c r="Q293" s="1432"/>
      <c r="R293" s="1432"/>
      <c r="S293" s="3"/>
      <c r="T293" s="3" t="s">
        <v>76</v>
      </c>
      <c r="V293" s="3"/>
      <c r="W293" s="3"/>
      <c r="X293" s="3"/>
      <c r="Y293" s="3"/>
      <c r="AA293" s="1431" t="s">
        <v>2672</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2" t="s">
        <v>2673</v>
      </c>
      <c r="I295" s="1432"/>
      <c r="J295" s="1432"/>
      <c r="K295" s="1432"/>
      <c r="L295" s="1432"/>
      <c r="M295" s="1432"/>
      <c r="N295" s="1432"/>
      <c r="O295" s="1432"/>
      <c r="P295" s="1432"/>
      <c r="Q295" s="1432"/>
      <c r="R295" s="1432"/>
      <c r="T295" s="3" t="s">
        <v>364</v>
      </c>
      <c r="V295" s="3"/>
      <c r="W295" s="3"/>
      <c r="X295" s="3"/>
      <c r="Y295" s="3"/>
      <c r="AA295" s="1432" t="s">
        <v>2674</v>
      </c>
      <c r="AB295" s="1432"/>
      <c r="AC295" s="1432"/>
      <c r="AD295" s="1432"/>
      <c r="AE295" s="1432"/>
      <c r="AF295" s="1432"/>
      <c r="AG295" s="1432"/>
      <c r="AH295" s="1432"/>
      <c r="AI295" s="1432"/>
      <c r="AJ295" s="1432"/>
      <c r="AK295" s="1432"/>
      <c r="BN295" s="34"/>
    </row>
    <row r="296" spans="2:66" ht="12.95" customHeight="1">
      <c r="B296" s="3" t="s">
        <v>478</v>
      </c>
      <c r="C296" s="3"/>
      <c r="D296" s="3"/>
      <c r="E296" s="3"/>
      <c r="F296" s="3"/>
      <c r="H296" s="1431" t="s">
        <v>2675</v>
      </c>
      <c r="I296" s="1431"/>
      <c r="J296" s="1431"/>
      <c r="K296" s="1431"/>
      <c r="L296" s="1431"/>
      <c r="M296" s="1431"/>
      <c r="N296" s="1431"/>
      <c r="O296" s="1431"/>
      <c r="P296" s="1431"/>
      <c r="Q296" s="1431"/>
      <c r="R296" s="1431"/>
      <c r="T296" s="3" t="s">
        <v>478</v>
      </c>
      <c r="V296" s="3"/>
      <c r="W296" s="3"/>
      <c r="X296" s="3"/>
      <c r="Y296" s="3"/>
      <c r="AA296" s="1431" t="s">
        <v>2644</v>
      </c>
      <c r="AB296" s="1431"/>
      <c r="AC296" s="1431"/>
      <c r="AD296" s="1431"/>
      <c r="AE296" s="1431"/>
      <c r="AF296" s="1431"/>
      <c r="AG296" s="1431"/>
      <c r="AH296" s="1431"/>
      <c r="AI296" s="1431"/>
      <c r="AJ296" s="1431"/>
      <c r="AK296" s="1431"/>
      <c r="BN296" s="34"/>
    </row>
    <row r="297" spans="2:66" ht="12.95" customHeight="1">
      <c r="B297" s="3" t="s">
        <v>479</v>
      </c>
      <c r="C297" s="3"/>
      <c r="D297" s="3"/>
      <c r="E297" s="3"/>
      <c r="F297" s="3"/>
      <c r="H297" s="1431" t="s">
        <v>2667</v>
      </c>
      <c r="I297" s="1431"/>
      <c r="J297" s="1431"/>
      <c r="K297" s="1431"/>
      <c r="L297" s="1431"/>
      <c r="M297" s="1431"/>
      <c r="N297" s="1431"/>
      <c r="O297" s="1431"/>
      <c r="P297" s="1431"/>
      <c r="Q297" s="1431"/>
      <c r="R297" s="1431"/>
      <c r="T297" s="3" t="s">
        <v>75</v>
      </c>
      <c r="V297" s="3"/>
      <c r="W297" s="3"/>
      <c r="X297" s="3"/>
      <c r="Y297" s="3"/>
      <c r="AA297" s="1431" t="s">
        <v>2667</v>
      </c>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2676</v>
      </c>
      <c r="I298" s="1431"/>
      <c r="J298" s="1431"/>
      <c r="K298" s="1431"/>
      <c r="L298" s="1431"/>
      <c r="M298" s="1431"/>
      <c r="N298" s="1431"/>
      <c r="O298" s="1431"/>
      <c r="P298" s="1431"/>
      <c r="Q298" s="1431"/>
      <c r="R298" s="1431"/>
      <c r="T298" s="3" t="s">
        <v>87</v>
      </c>
      <c r="V298" s="3"/>
      <c r="W298" s="3"/>
      <c r="X298" s="3"/>
      <c r="Y298" s="3"/>
      <c r="AA298" s="1431" t="s">
        <v>2642</v>
      </c>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21" t="s">
        <v>2677</v>
      </c>
      <c r="I299" s="1522"/>
      <c r="J299" s="1522"/>
      <c r="K299" s="1522"/>
      <c r="L299" s="1522"/>
      <c r="M299" s="1522"/>
      <c r="N299" s="4" t="s">
        <v>206</v>
      </c>
      <c r="O299" s="4"/>
      <c r="P299" s="1430"/>
      <c r="Q299" s="1430"/>
      <c r="R299" s="1430"/>
      <c r="S299" s="3"/>
      <c r="T299" s="3" t="s">
        <v>88</v>
      </c>
      <c r="V299" s="3"/>
      <c r="W299" s="3"/>
      <c r="X299" s="3"/>
      <c r="Y299" s="3"/>
      <c r="AA299" s="1521" t="s">
        <v>2646</v>
      </c>
      <c r="AB299" s="1522"/>
      <c r="AC299" s="1522"/>
      <c r="AD299" s="1522"/>
      <c r="AE299" s="1522"/>
      <c r="AF299" s="1522"/>
      <c r="AG299" s="4" t="s">
        <v>206</v>
      </c>
      <c r="AH299" s="4"/>
      <c r="AI299" s="1430">
        <v>3015</v>
      </c>
      <c r="AJ299" s="1430"/>
      <c r="AK299" s="1430"/>
      <c r="BN299" s="34"/>
    </row>
    <row r="300" spans="2:66" ht="12.95" customHeight="1">
      <c r="B300" s="3" t="s">
        <v>89</v>
      </c>
      <c r="C300" s="3"/>
      <c r="D300" s="3"/>
      <c r="E300" s="3"/>
      <c r="F300" s="3"/>
      <c r="G300" s="3"/>
      <c r="H300" s="1510" t="s">
        <v>2647</v>
      </c>
      <c r="I300" s="1435"/>
      <c r="J300" s="1435"/>
      <c r="K300" s="1435"/>
      <c r="L300" s="1435"/>
      <c r="M300" s="1435"/>
      <c r="N300" s="4"/>
      <c r="O300" s="4"/>
      <c r="P300" s="35"/>
      <c r="Q300" s="35"/>
      <c r="R300" s="35"/>
      <c r="S300" s="3"/>
      <c r="T300" s="3" t="s">
        <v>89</v>
      </c>
      <c r="V300" s="3"/>
      <c r="W300" s="3"/>
      <c r="X300" s="3"/>
      <c r="Y300" s="3"/>
      <c r="AA300" s="1510" t="s">
        <v>2678</v>
      </c>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2679</v>
      </c>
      <c r="I301" s="1431"/>
      <c r="J301" s="1431"/>
      <c r="K301" s="1431"/>
      <c r="L301" s="1431"/>
      <c r="M301" s="1431"/>
      <c r="N301" s="1432"/>
      <c r="O301" s="1432"/>
      <c r="P301" s="1432"/>
      <c r="Q301" s="1432"/>
      <c r="R301" s="1432"/>
      <c r="S301" s="3"/>
      <c r="T301" s="3" t="s">
        <v>76</v>
      </c>
      <c r="V301" s="3"/>
      <c r="W301" s="3"/>
      <c r="X301" s="3"/>
      <c r="Y301" s="3"/>
      <c r="AA301" s="1431" t="s">
        <v>2648</v>
      </c>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2680</v>
      </c>
      <c r="I303" s="1432"/>
      <c r="J303" s="1432"/>
      <c r="K303" s="1432"/>
      <c r="L303" s="1432"/>
      <c r="M303" s="1432"/>
      <c r="N303" s="1432"/>
      <c r="O303" s="1432"/>
      <c r="P303" s="1432"/>
      <c r="Q303" s="1432"/>
      <c r="R303" s="1432"/>
      <c r="T303" s="4" t="s">
        <v>888</v>
      </c>
      <c r="V303" s="3"/>
      <c r="W303" s="3"/>
      <c r="X303" s="3"/>
      <c r="Y303" s="3"/>
      <c r="AA303" s="1432" t="s">
        <v>2753</v>
      </c>
      <c r="AB303" s="1432"/>
      <c r="AC303" s="1432"/>
      <c r="AD303" s="1432"/>
      <c r="AE303" s="1432"/>
      <c r="AF303" s="1432"/>
      <c r="AG303" s="1432"/>
      <c r="AH303" s="1432"/>
      <c r="AI303" s="1432"/>
      <c r="AJ303" s="1432"/>
      <c r="AK303" s="1432"/>
      <c r="BN303" s="34"/>
    </row>
    <row r="304" spans="2:66" ht="12.95" customHeight="1">
      <c r="B304" s="3" t="s">
        <v>478</v>
      </c>
      <c r="C304" s="3"/>
      <c r="D304" s="3"/>
      <c r="E304" s="3"/>
      <c r="F304" s="3"/>
      <c r="H304" s="1431" t="s">
        <v>2681</v>
      </c>
      <c r="I304" s="1431"/>
      <c r="J304" s="1431"/>
      <c r="K304" s="1431"/>
      <c r="L304" s="1431"/>
      <c r="M304" s="1431"/>
      <c r="N304" s="1431"/>
      <c r="O304" s="1431"/>
      <c r="P304" s="1431"/>
      <c r="Q304" s="1431"/>
      <c r="R304" s="1431"/>
      <c r="T304" s="3" t="s">
        <v>478</v>
      </c>
      <c r="V304" s="3"/>
      <c r="W304" s="3"/>
      <c r="X304" s="3"/>
      <c r="Y304" s="3"/>
      <c r="AA304" s="1431" t="s">
        <v>2754</v>
      </c>
      <c r="AB304" s="1431"/>
      <c r="AC304" s="1431"/>
      <c r="AD304" s="1431"/>
      <c r="AE304" s="1431"/>
      <c r="AF304" s="1431"/>
      <c r="AG304" s="1431"/>
      <c r="AH304" s="1431"/>
      <c r="AI304" s="1431"/>
      <c r="AJ304" s="1431"/>
      <c r="AK304" s="1431"/>
      <c r="BN304" s="34"/>
    </row>
    <row r="305" spans="2:66" ht="12.95" customHeight="1">
      <c r="B305" s="3" t="s">
        <v>479</v>
      </c>
      <c r="C305" s="3"/>
      <c r="D305" s="3"/>
      <c r="E305" s="3"/>
      <c r="F305" s="3"/>
      <c r="H305" s="1431" t="s">
        <v>2682</v>
      </c>
      <c r="I305" s="1431"/>
      <c r="J305" s="1431"/>
      <c r="K305" s="1431"/>
      <c r="L305" s="1431"/>
      <c r="M305" s="1431"/>
      <c r="N305" s="1431"/>
      <c r="O305" s="1431"/>
      <c r="P305" s="1431"/>
      <c r="Q305" s="1431"/>
      <c r="R305" s="1431"/>
      <c r="T305" s="3" t="s">
        <v>75</v>
      </c>
      <c r="V305" s="3"/>
      <c r="W305" s="3"/>
      <c r="X305" s="3"/>
      <c r="Y305" s="3"/>
      <c r="AA305" s="1431" t="s">
        <v>2755</v>
      </c>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2683</v>
      </c>
      <c r="I306" s="1431"/>
      <c r="J306" s="1431"/>
      <c r="K306" s="1431"/>
      <c r="L306" s="1431"/>
      <c r="M306" s="1431"/>
      <c r="N306" s="1431"/>
      <c r="O306" s="1431"/>
      <c r="P306" s="1431"/>
      <c r="Q306" s="1431"/>
      <c r="R306" s="1431"/>
      <c r="T306" s="3" t="s">
        <v>87</v>
      </c>
      <c r="V306" s="3"/>
      <c r="W306" s="3"/>
      <c r="X306" s="3"/>
      <c r="Y306" s="3"/>
      <c r="AA306" s="1431" t="s">
        <v>2756</v>
      </c>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21" t="s">
        <v>2684</v>
      </c>
      <c r="I307" s="1522"/>
      <c r="J307" s="1522"/>
      <c r="K307" s="1522"/>
      <c r="L307" s="1522"/>
      <c r="M307" s="1522"/>
      <c r="N307" s="4" t="s">
        <v>206</v>
      </c>
      <c r="O307" s="4"/>
      <c r="P307" s="1430"/>
      <c r="Q307" s="1430"/>
      <c r="R307" s="1430"/>
      <c r="S307" s="3"/>
      <c r="T307" s="3" t="s">
        <v>88</v>
      </c>
      <c r="V307" s="3"/>
      <c r="W307" s="3"/>
      <c r="X307" s="3"/>
      <c r="Y307" s="3"/>
      <c r="AA307" s="1521" t="s">
        <v>2757</v>
      </c>
      <c r="AB307" s="1522"/>
      <c r="AC307" s="1522"/>
      <c r="AD307" s="1522"/>
      <c r="AE307" s="1522"/>
      <c r="AF307" s="1522"/>
      <c r="AG307" s="4" t="s">
        <v>206</v>
      </c>
      <c r="AH307" s="4"/>
      <c r="AI307" s="1430"/>
      <c r="AJ307" s="1430"/>
      <c r="AK307" s="1430"/>
      <c r="BN307" s="34"/>
    </row>
    <row r="308" spans="2:66" ht="12.95" customHeight="1">
      <c r="B308" s="3" t="s">
        <v>89</v>
      </c>
      <c r="C308" s="3"/>
      <c r="D308" s="3"/>
      <c r="E308" s="3"/>
      <c r="F308" s="3"/>
      <c r="G308" s="3"/>
      <c r="H308" s="1510" t="s">
        <v>2685</v>
      </c>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2686</v>
      </c>
      <c r="I309" s="1431"/>
      <c r="J309" s="1431"/>
      <c r="K309" s="1431"/>
      <c r="L309" s="1431"/>
      <c r="M309" s="1431"/>
      <c r="N309" s="1432"/>
      <c r="O309" s="1432"/>
      <c r="P309" s="1432"/>
      <c r="Q309" s="1432"/>
      <c r="R309" s="1432"/>
      <c r="S309" s="3"/>
      <c r="T309" s="3" t="s">
        <v>76</v>
      </c>
      <c r="V309" s="3"/>
      <c r="W309" s="3"/>
      <c r="X309" s="3"/>
      <c r="Y309" s="3"/>
      <c r="AA309" s="1431" t="s">
        <v>2758</v>
      </c>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32" t="s">
        <v>2680</v>
      </c>
      <c r="I311" s="1432"/>
      <c r="J311" s="1432"/>
      <c r="K311" s="1432"/>
      <c r="L311" s="1432"/>
      <c r="M311" s="1432"/>
      <c r="N311" s="1432"/>
      <c r="O311" s="1432"/>
      <c r="P311" s="1432"/>
      <c r="Q311" s="1432"/>
      <c r="R311" s="1432"/>
      <c r="S311" s="3"/>
      <c r="T311" s="3" t="s">
        <v>365</v>
      </c>
      <c r="V311" s="3"/>
      <c r="W311" s="3"/>
      <c r="X311" s="3"/>
      <c r="Y311" s="3"/>
      <c r="AA311" s="1432" t="s">
        <v>2687</v>
      </c>
      <c r="AB311" s="1432"/>
      <c r="AC311" s="1432"/>
      <c r="AD311" s="1432"/>
      <c r="AE311" s="1432"/>
      <c r="AF311" s="1432"/>
      <c r="AG311" s="1432"/>
      <c r="AH311" s="1432"/>
      <c r="AI311" s="1432"/>
      <c r="AJ311" s="1432"/>
      <c r="AK311" s="1432"/>
      <c r="BN311" s="34"/>
    </row>
    <row r="312" spans="2:66" ht="12.95" customHeight="1">
      <c r="B312" s="3" t="s">
        <v>478</v>
      </c>
      <c r="C312" s="3"/>
      <c r="D312" s="3"/>
      <c r="E312" s="3"/>
      <c r="F312" s="3"/>
      <c r="H312" s="1431" t="s">
        <v>2681</v>
      </c>
      <c r="I312" s="1431"/>
      <c r="J312" s="1431"/>
      <c r="K312" s="1431"/>
      <c r="L312" s="1431"/>
      <c r="M312" s="1431"/>
      <c r="N312" s="1431"/>
      <c r="O312" s="1431"/>
      <c r="P312" s="1431"/>
      <c r="Q312" s="1431"/>
      <c r="R312" s="1431"/>
      <c r="S312" s="3"/>
      <c r="T312" s="3" t="s">
        <v>478</v>
      </c>
      <c r="V312" s="3"/>
      <c r="W312" s="3"/>
      <c r="X312" s="3"/>
      <c r="Y312" s="3"/>
      <c r="AA312" s="1431" t="s">
        <v>2688</v>
      </c>
      <c r="AB312" s="1431"/>
      <c r="AC312" s="1431"/>
      <c r="AD312" s="1431"/>
      <c r="AE312" s="1431"/>
      <c r="AF312" s="1431"/>
      <c r="AG312" s="1431"/>
      <c r="AH312" s="1431"/>
      <c r="AI312" s="1431"/>
      <c r="AJ312" s="1431"/>
      <c r="AK312" s="1431"/>
      <c r="BN312" s="34"/>
    </row>
    <row r="313" spans="2:66" ht="12.95" customHeight="1">
      <c r="B313" s="3" t="s">
        <v>479</v>
      </c>
      <c r="C313" s="3"/>
      <c r="D313" s="3"/>
      <c r="E313" s="3"/>
      <c r="F313" s="3"/>
      <c r="H313" s="1431" t="s">
        <v>2682</v>
      </c>
      <c r="I313" s="1431"/>
      <c r="J313" s="1431"/>
      <c r="K313" s="1431"/>
      <c r="L313" s="1431"/>
      <c r="M313" s="1431"/>
      <c r="N313" s="1431"/>
      <c r="O313" s="1431"/>
      <c r="P313" s="1431"/>
      <c r="Q313" s="1431"/>
      <c r="R313" s="1431"/>
      <c r="S313" s="3"/>
      <c r="T313" s="3" t="s">
        <v>75</v>
      </c>
      <c r="V313" s="3"/>
      <c r="W313" s="3"/>
      <c r="X313" s="3"/>
      <c r="Y313" s="3"/>
      <c r="AA313" s="1431" t="s">
        <v>2689</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2683</v>
      </c>
      <c r="I314" s="1431"/>
      <c r="J314" s="1431"/>
      <c r="K314" s="1431"/>
      <c r="L314" s="1431"/>
      <c r="M314" s="1431"/>
      <c r="N314" s="1431"/>
      <c r="O314" s="1431"/>
      <c r="P314" s="1431"/>
      <c r="Q314" s="1431"/>
      <c r="R314" s="1431"/>
      <c r="S314" s="3"/>
      <c r="T314" s="3" t="s">
        <v>87</v>
      </c>
      <c r="V314" s="3"/>
      <c r="W314" s="3"/>
      <c r="X314" s="3"/>
      <c r="Y314" s="3"/>
      <c r="AA314" s="1431" t="s">
        <v>2690</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21" t="s">
        <v>2684</v>
      </c>
      <c r="I315" s="1522"/>
      <c r="J315" s="1522"/>
      <c r="K315" s="1522"/>
      <c r="L315" s="1522"/>
      <c r="M315" s="1522"/>
      <c r="N315" s="4" t="s">
        <v>206</v>
      </c>
      <c r="O315" s="4"/>
      <c r="P315" s="1430"/>
      <c r="Q315" s="1430"/>
      <c r="R315" s="1430"/>
      <c r="S315" s="3"/>
      <c r="T315" s="3" t="s">
        <v>88</v>
      </c>
      <c r="V315" s="3"/>
      <c r="W315" s="3"/>
      <c r="X315" s="3"/>
      <c r="Y315" s="3"/>
      <c r="AA315" s="1521" t="s">
        <v>2691</v>
      </c>
      <c r="AB315" s="1522"/>
      <c r="AC315" s="1522"/>
      <c r="AD315" s="1522"/>
      <c r="AE315" s="1522"/>
      <c r="AF315" s="1522"/>
      <c r="AG315" s="4" t="s">
        <v>206</v>
      </c>
      <c r="AH315" s="4"/>
      <c r="AI315" s="1430"/>
      <c r="AJ315" s="1430"/>
      <c r="AK315" s="1430"/>
      <c r="BN315" s="34"/>
    </row>
    <row r="316" spans="2:66" ht="12.95" customHeight="1">
      <c r="B316" s="3" t="s">
        <v>89</v>
      </c>
      <c r="C316" s="3"/>
      <c r="D316" s="3"/>
      <c r="E316" s="3"/>
      <c r="F316" s="3"/>
      <c r="G316" s="3"/>
      <c r="H316" s="1510" t="s">
        <v>2685</v>
      </c>
      <c r="I316" s="1435"/>
      <c r="J316" s="1435"/>
      <c r="K316" s="1435"/>
      <c r="L316" s="1435"/>
      <c r="M316" s="1435"/>
      <c r="N316" s="4"/>
      <c r="O316" s="4"/>
      <c r="P316" s="35"/>
      <c r="Q316" s="35"/>
      <c r="R316" s="35"/>
      <c r="S316" s="3"/>
      <c r="T316" s="3" t="s">
        <v>89</v>
      </c>
      <c r="V316" s="3"/>
      <c r="W316" s="3"/>
      <c r="X316" s="3"/>
      <c r="Y316" s="3"/>
      <c r="AA316" s="1510" t="s">
        <v>2692</v>
      </c>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2686</v>
      </c>
      <c r="I317" s="1431"/>
      <c r="J317" s="1431"/>
      <c r="K317" s="1431"/>
      <c r="L317" s="1431"/>
      <c r="M317" s="1431"/>
      <c r="N317" s="1432"/>
      <c r="O317" s="1432"/>
      <c r="P317" s="1432"/>
      <c r="Q317" s="1432"/>
      <c r="R317" s="1432"/>
      <c r="S317" s="3"/>
      <c r="T317" s="3" t="s">
        <v>76</v>
      </c>
      <c r="V317" s="3"/>
      <c r="W317" s="3"/>
      <c r="X317" s="3"/>
      <c r="Y317" s="3"/>
      <c r="AA317" s="1431" t="s">
        <v>2693</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921</v>
      </c>
      <c r="C319" s="3"/>
      <c r="D319" s="3"/>
      <c r="E319" s="3"/>
      <c r="F319" s="3"/>
      <c r="H319" s="1432" t="s">
        <v>2639</v>
      </c>
      <c r="I319" s="1432"/>
      <c r="J319" s="1432"/>
      <c r="K319" s="1432"/>
      <c r="L319" s="1432"/>
      <c r="M319" s="1432"/>
      <c r="N319" s="1432"/>
      <c r="O319" s="1432"/>
      <c r="P319" s="1432"/>
      <c r="Q319" s="1432"/>
      <c r="R319" s="1432"/>
      <c r="T319" s="3" t="s">
        <v>366</v>
      </c>
      <c r="V319" s="3"/>
      <c r="W319" s="3"/>
      <c r="X319" s="3"/>
      <c r="Y319" s="3"/>
      <c r="AA319" s="1432" t="s">
        <v>2694</v>
      </c>
      <c r="AB319" s="1432"/>
      <c r="AC319" s="1432"/>
      <c r="AD319" s="1432"/>
      <c r="AE319" s="1432"/>
      <c r="AF319" s="1432"/>
      <c r="AG319" s="1432"/>
      <c r="AH319" s="1432"/>
      <c r="AI319" s="1432"/>
      <c r="AJ319" s="1432"/>
      <c r="AK319" s="1432"/>
      <c r="BN319" s="34"/>
    </row>
    <row r="320" spans="2:66" ht="12.95" customHeight="1">
      <c r="B320" s="3" t="s">
        <v>478</v>
      </c>
      <c r="C320" s="3"/>
      <c r="D320" s="3"/>
      <c r="E320" s="3"/>
      <c r="F320" s="3"/>
      <c r="H320" s="1431"/>
      <c r="I320" s="1431"/>
      <c r="J320" s="1431"/>
      <c r="K320" s="1431"/>
      <c r="L320" s="1431"/>
      <c r="M320" s="1431"/>
      <c r="N320" s="1431"/>
      <c r="O320" s="1431"/>
      <c r="P320" s="1431"/>
      <c r="Q320" s="1431"/>
      <c r="R320" s="1431"/>
      <c r="T320" s="3" t="s">
        <v>478</v>
      </c>
      <c r="V320" s="3"/>
      <c r="W320" s="3"/>
      <c r="X320" s="3"/>
      <c r="Y320" s="3"/>
      <c r="AA320" s="1431" t="s">
        <v>2695</v>
      </c>
      <c r="AB320" s="1431"/>
      <c r="AC320" s="1431"/>
      <c r="AD320" s="1431"/>
      <c r="AE320" s="1431"/>
      <c r="AF320" s="1431"/>
      <c r="AG320" s="1431"/>
      <c r="AH320" s="1431"/>
      <c r="AI320" s="1431"/>
      <c r="AJ320" s="1431"/>
      <c r="AK320" s="1431"/>
      <c r="BN320" s="34"/>
    </row>
    <row r="321" spans="2:66" ht="12.95" customHeight="1">
      <c r="B321" s="3" t="s">
        <v>479</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2696</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2697</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22"/>
      <c r="I323" s="1522"/>
      <c r="J323" s="1522"/>
      <c r="K323" s="1522"/>
      <c r="L323" s="1522"/>
      <c r="M323" s="1522"/>
      <c r="N323" s="4" t="s">
        <v>206</v>
      </c>
      <c r="O323" s="4"/>
      <c r="P323" s="1430"/>
      <c r="Q323" s="1430"/>
      <c r="R323" s="1430"/>
      <c r="S323" s="3"/>
      <c r="T323" s="3" t="s">
        <v>88</v>
      </c>
      <c r="V323" s="3"/>
      <c r="W323" s="3"/>
      <c r="X323" s="3"/>
      <c r="Y323" s="3"/>
      <c r="AA323" s="1521" t="s">
        <v>2698</v>
      </c>
      <c r="AB323" s="1522"/>
      <c r="AC323" s="1522"/>
      <c r="AD323" s="1522"/>
      <c r="AE323" s="1522"/>
      <c r="AF323" s="1522"/>
      <c r="AG323" s="4" t="s">
        <v>206</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2699</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2" t="s">
        <v>2694</v>
      </c>
      <c r="I327" s="1432"/>
      <c r="J327" s="1432"/>
      <c r="K327" s="1432"/>
      <c r="L327" s="1432"/>
      <c r="M327" s="1432"/>
      <c r="N327" s="1432"/>
      <c r="O327" s="1432"/>
      <c r="P327" s="1432"/>
      <c r="Q327" s="1432"/>
      <c r="R327" s="1432"/>
      <c r="T327" s="3" t="s">
        <v>368</v>
      </c>
      <c r="V327" s="3"/>
      <c r="W327" s="3"/>
      <c r="X327" s="3"/>
      <c r="Y327" s="3"/>
      <c r="AA327" s="1432" t="s">
        <v>2639</v>
      </c>
      <c r="AB327" s="1432"/>
      <c r="AC327" s="1432"/>
      <c r="AD327" s="1432"/>
      <c r="AE327" s="1432"/>
      <c r="AF327" s="1432"/>
      <c r="AG327" s="1432"/>
      <c r="AH327" s="1432"/>
      <c r="AI327" s="1432"/>
      <c r="AJ327" s="1432"/>
      <c r="AK327" s="1432"/>
    </row>
    <row r="328" spans="2:66" ht="12.95" customHeight="1">
      <c r="B328" s="3" t="s">
        <v>478</v>
      </c>
      <c r="C328" s="3"/>
      <c r="D328" s="3"/>
      <c r="E328" s="3"/>
      <c r="F328" s="3"/>
      <c r="H328" s="1431" t="s">
        <v>2695</v>
      </c>
      <c r="I328" s="1431"/>
      <c r="J328" s="1431"/>
      <c r="K328" s="1431"/>
      <c r="L328" s="1431"/>
      <c r="M328" s="1431"/>
      <c r="N328" s="1431"/>
      <c r="O328" s="1431"/>
      <c r="P328" s="1431"/>
      <c r="Q328" s="1431"/>
      <c r="R328" s="1431"/>
      <c r="T328" s="3" t="s">
        <v>478</v>
      </c>
      <c r="V328" s="3"/>
      <c r="W328" s="3"/>
      <c r="X328" s="3"/>
      <c r="Y328" s="3"/>
      <c r="AA328" s="1431"/>
      <c r="AB328" s="1431"/>
      <c r="AC328" s="1431"/>
      <c r="AD328" s="1431"/>
      <c r="AE328" s="1431"/>
      <c r="AF328" s="1431"/>
      <c r="AG328" s="1431"/>
      <c r="AH328" s="1431"/>
      <c r="AI328" s="1431"/>
      <c r="AJ328" s="1431"/>
      <c r="AK328" s="1431"/>
    </row>
    <row r="329" spans="2:66" ht="12.95" customHeight="1">
      <c r="B329" s="3" t="s">
        <v>479</v>
      </c>
      <c r="C329" s="3"/>
      <c r="D329" s="3"/>
      <c r="E329" s="3"/>
      <c r="F329" s="3"/>
      <c r="H329" s="1431" t="s">
        <v>2696</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t="s">
        <v>2697</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21" t="s">
        <v>2698</v>
      </c>
      <c r="I331" s="1522"/>
      <c r="J331" s="1522"/>
      <c r="K331" s="1522"/>
      <c r="L331" s="1522"/>
      <c r="M331" s="1522"/>
      <c r="N331" s="4" t="s">
        <v>206</v>
      </c>
      <c r="O331" s="4"/>
      <c r="P331" s="1430"/>
      <c r="Q331" s="1430"/>
      <c r="R331" s="1430"/>
      <c r="S331" s="3"/>
      <c r="T331" s="3" t="s">
        <v>88</v>
      </c>
      <c r="V331" s="3"/>
      <c r="W331" s="3"/>
      <c r="X331" s="3"/>
      <c r="Y331" s="3"/>
      <c r="AA331" s="1522"/>
      <c r="AB331" s="1522"/>
      <c r="AC331" s="1522"/>
      <c r="AD331" s="1522"/>
      <c r="AE331" s="1522"/>
      <c r="AF331" s="1522"/>
      <c r="AG331" s="4" t="s">
        <v>206</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t="s">
        <v>2699</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2" t="s">
        <v>2700</v>
      </c>
      <c r="I335" s="1432"/>
      <c r="J335" s="1432"/>
      <c r="K335" s="1432"/>
      <c r="L335" s="1432"/>
      <c r="M335" s="1432"/>
      <c r="N335" s="1432"/>
      <c r="O335" s="1432"/>
      <c r="P335" s="1432"/>
      <c r="Q335" s="1432"/>
      <c r="R335" s="1432"/>
      <c r="T335" s="218" t="s">
        <v>897</v>
      </c>
      <c r="V335" s="3"/>
      <c r="W335" s="3"/>
      <c r="X335" s="3"/>
      <c r="Y335" s="3"/>
      <c r="AA335" s="1432" t="s">
        <v>2701</v>
      </c>
      <c r="AB335" s="1432"/>
      <c r="AC335" s="1432"/>
      <c r="AD335" s="1432"/>
      <c r="AE335" s="1432"/>
      <c r="AF335" s="1432"/>
      <c r="AG335" s="1432"/>
      <c r="AH335" s="1432"/>
      <c r="AI335" s="1432"/>
      <c r="AJ335" s="1432"/>
      <c r="AK335" s="1432"/>
    </row>
    <row r="336" spans="2:66" ht="12.95" customHeight="1">
      <c r="B336" s="3" t="s">
        <v>478</v>
      </c>
      <c r="C336" s="3"/>
      <c r="D336" s="3"/>
      <c r="E336" s="3"/>
      <c r="F336" s="3"/>
      <c r="H336" s="1431" t="s">
        <v>2702</v>
      </c>
      <c r="I336" s="1431"/>
      <c r="J336" s="1431"/>
      <c r="K336" s="1431"/>
      <c r="L336" s="1431"/>
      <c r="M336" s="1431"/>
      <c r="N336" s="1431"/>
      <c r="O336" s="1431"/>
      <c r="P336" s="1431"/>
      <c r="Q336" s="1431"/>
      <c r="R336" s="1431"/>
      <c r="T336" s="3" t="s">
        <v>478</v>
      </c>
      <c r="V336" s="3"/>
      <c r="W336" s="3"/>
      <c r="X336" s="3"/>
      <c r="Y336" s="3"/>
      <c r="AA336" s="1431" t="s">
        <v>2703</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2704</v>
      </c>
      <c r="I337" s="1431"/>
      <c r="J337" s="1431"/>
      <c r="K337" s="1431"/>
      <c r="L337" s="1431"/>
      <c r="M337" s="1431"/>
      <c r="N337" s="1431"/>
      <c r="O337" s="1431"/>
      <c r="P337" s="1431"/>
      <c r="Q337" s="1431"/>
      <c r="R337" s="1431"/>
      <c r="T337" s="3" t="s">
        <v>75</v>
      </c>
      <c r="V337" s="3"/>
      <c r="W337" s="3"/>
      <c r="X337" s="3"/>
      <c r="Y337" s="3"/>
      <c r="AA337" s="1431" t="s">
        <v>2705</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2706</v>
      </c>
      <c r="I338" s="1431"/>
      <c r="J338" s="1431"/>
      <c r="K338" s="1431"/>
      <c r="L338" s="1431"/>
      <c r="M338" s="1431"/>
      <c r="N338" s="1431"/>
      <c r="O338" s="1431"/>
      <c r="P338" s="1431"/>
      <c r="Q338" s="1431"/>
      <c r="R338" s="1431"/>
      <c r="T338" s="3" t="s">
        <v>87</v>
      </c>
      <c r="V338" s="3"/>
      <c r="W338" s="3"/>
      <c r="X338" s="3"/>
      <c r="Y338" s="3"/>
      <c r="AA338" s="1431" t="s">
        <v>2707</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21" t="s">
        <v>2708</v>
      </c>
      <c r="I339" s="1522"/>
      <c r="J339" s="1522"/>
      <c r="K339" s="1522"/>
      <c r="L339" s="1522"/>
      <c r="M339" s="1522"/>
      <c r="N339" s="4" t="s">
        <v>206</v>
      </c>
      <c r="O339" s="4"/>
      <c r="P339" s="1430"/>
      <c r="Q339" s="1430"/>
      <c r="R339" s="1430"/>
      <c r="S339" s="3"/>
      <c r="T339" s="3" t="s">
        <v>88</v>
      </c>
      <c r="V339" s="3"/>
      <c r="W339" s="3"/>
      <c r="X339" s="3"/>
      <c r="Y339" s="3"/>
      <c r="AA339" s="1521" t="s">
        <v>2709</v>
      </c>
      <c r="AB339" s="1522"/>
      <c r="AC339" s="1522"/>
      <c r="AD339" s="1522"/>
      <c r="AE339" s="1522"/>
      <c r="AF339" s="1522"/>
      <c r="AG339" s="4" t="s">
        <v>206</v>
      </c>
      <c r="AH339" s="4"/>
      <c r="AI339" s="1430"/>
      <c r="AJ339" s="1430"/>
      <c r="AK339" s="1430"/>
    </row>
    <row r="340" spans="1:66" ht="12.95" customHeight="1">
      <c r="B340" s="3" t="s">
        <v>89</v>
      </c>
      <c r="C340" s="3"/>
      <c r="D340" s="3"/>
      <c r="E340" s="3"/>
      <c r="F340" s="3"/>
      <c r="G340" s="3"/>
      <c r="H340" s="1510" t="s">
        <v>2710</v>
      </c>
      <c r="I340" s="1435"/>
      <c r="J340" s="1435"/>
      <c r="K340" s="1435"/>
      <c r="L340" s="1435"/>
      <c r="M340" s="1435"/>
      <c r="N340" s="4"/>
      <c r="O340" s="4"/>
      <c r="P340" s="35"/>
      <c r="Q340" s="35"/>
      <c r="R340" s="35"/>
      <c r="S340" s="3"/>
      <c r="T340" s="3" t="s">
        <v>89</v>
      </c>
      <c r="V340" s="3"/>
      <c r="W340" s="3"/>
      <c r="X340" s="3"/>
      <c r="Y340" s="3"/>
      <c r="AA340" s="1510" t="s">
        <v>2711</v>
      </c>
      <c r="AB340" s="1435"/>
      <c r="AC340" s="1435"/>
      <c r="AD340" s="1435"/>
      <c r="AE340" s="1435"/>
      <c r="AF340" s="1435"/>
      <c r="AG340" s="4"/>
      <c r="AH340" s="4"/>
      <c r="AI340" s="35"/>
      <c r="AJ340" s="35"/>
      <c r="AK340" s="35"/>
    </row>
    <row r="341" spans="1:66" ht="12.95" customHeight="1">
      <c r="B341" s="3" t="s">
        <v>76</v>
      </c>
      <c r="C341" s="3"/>
      <c r="D341" s="3"/>
      <c r="E341" s="3"/>
      <c r="F341" s="3"/>
      <c r="G341" s="3"/>
      <c r="H341" s="1431" t="s">
        <v>2712</v>
      </c>
      <c r="I341" s="1431"/>
      <c r="J341" s="1431"/>
      <c r="K341" s="1431"/>
      <c r="L341" s="1431"/>
      <c r="M341" s="1431"/>
      <c r="N341" s="1432"/>
      <c r="O341" s="1432"/>
      <c r="P341" s="1432"/>
      <c r="Q341" s="1432"/>
      <c r="R341" s="1432"/>
      <c r="S341" s="3"/>
      <c r="T341" s="3" t="s">
        <v>76</v>
      </c>
      <c r="V341" s="3"/>
      <c r="W341" s="3"/>
      <c r="X341" s="3"/>
      <c r="Y341" s="3"/>
      <c r="AA341" s="1431" t="s">
        <v>2713</v>
      </c>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32" t="s">
        <v>2639</v>
      </c>
      <c r="Q343" s="1432"/>
      <c r="R343" s="1432"/>
      <c r="S343" s="1432"/>
      <c r="T343" s="1432"/>
      <c r="U343" s="1432"/>
      <c r="V343" s="1432"/>
      <c r="W343" s="1432"/>
      <c r="X343" s="1432"/>
      <c r="Y343" s="1432"/>
      <c r="Z343" s="1432"/>
      <c r="AA343" s="1432"/>
      <c r="AB343" s="1432"/>
      <c r="AC343" s="1432"/>
      <c r="AD343" s="1432"/>
      <c r="AE343" s="1432"/>
      <c r="BN343" t="s">
        <v>675</v>
      </c>
    </row>
    <row r="344" spans="1:66" ht="12.95" customHeight="1">
      <c r="B344" s="4"/>
      <c r="C344" s="4"/>
      <c r="D344" s="4"/>
      <c r="E344" s="4"/>
      <c r="F344" s="4"/>
      <c r="I344" s="4" t="s">
        <v>478</v>
      </c>
      <c r="P344" s="1431"/>
      <c r="Q344" s="1431"/>
      <c r="R344" s="1431"/>
      <c r="S344" s="1431"/>
      <c r="T344" s="1431"/>
      <c r="U344" s="1431"/>
      <c r="V344" s="1431"/>
      <c r="W344" s="1431"/>
      <c r="X344" s="1431"/>
      <c r="Y344" s="1431"/>
      <c r="Z344" s="1431"/>
      <c r="AA344" s="1431"/>
      <c r="AB344" s="1431"/>
      <c r="AC344" s="1431"/>
      <c r="AD344" s="1431"/>
      <c r="AE344" s="1431"/>
      <c r="BN344" t="s">
        <v>552</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206</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7" t="s">
        <v>549</v>
      </c>
      <c r="B351" s="1547"/>
      <c r="C351" s="1547"/>
      <c r="D351" s="1547"/>
      <c r="E351" s="1547"/>
      <c r="F351" s="1547"/>
      <c r="G351" s="1547"/>
      <c r="H351" s="1547"/>
      <c r="I351" s="1547"/>
      <c r="J351" s="1547"/>
      <c r="K351" s="1547"/>
      <c r="L351" s="1547"/>
      <c r="M351" s="1547"/>
      <c r="N351" s="1547"/>
      <c r="O351" s="1547"/>
      <c r="P351" s="1547"/>
      <c r="Q351" s="1547"/>
      <c r="R351" s="1547"/>
      <c r="S351" s="1547"/>
      <c r="T351" s="1547"/>
      <c r="U351" s="1547"/>
      <c r="V351" s="1547"/>
      <c r="W351" s="1547"/>
      <c r="X351" s="1547"/>
      <c r="Y351" s="1547"/>
      <c r="Z351" s="1547"/>
      <c r="AA351" s="1547"/>
      <c r="AB351" s="1547"/>
      <c r="AC351" s="1547"/>
      <c r="AD351" s="1547"/>
      <c r="AE351" s="1547"/>
      <c r="AF351" s="1547"/>
      <c r="AG351" s="1547"/>
      <c r="AH351" s="1547"/>
      <c r="AI351" s="1547"/>
      <c r="AJ351" s="1547"/>
      <c r="AK351" s="1547"/>
      <c r="AL351" s="1547"/>
      <c r="AM351" s="1547"/>
      <c r="AN351" s="1547"/>
      <c r="AO351" s="1547"/>
      <c r="AP351" s="1547"/>
      <c r="AQ351" s="1547"/>
      <c r="AR351" s="1547"/>
      <c r="AS351" s="1547"/>
      <c r="AT351" s="1547"/>
      <c r="AU351" s="95"/>
      <c r="AV351" s="95"/>
      <c r="AW351" s="95"/>
      <c r="AX351" s="95"/>
      <c r="AY351" s="95"/>
    </row>
    <row r="352" spans="1:66" ht="12.95" customHeight="1">
      <c r="A352" s="1547"/>
      <c r="B352" s="1547"/>
      <c r="C352" s="1547"/>
      <c r="D352" s="1547"/>
      <c r="E352" s="1547"/>
      <c r="F352" s="1547"/>
      <c r="G352" s="1547"/>
      <c r="H352" s="1547"/>
      <c r="I352" s="1547"/>
      <c r="J352" s="1547"/>
      <c r="K352" s="1547"/>
      <c r="L352" s="1547"/>
      <c r="M352" s="1547"/>
      <c r="N352" s="1547"/>
      <c r="O352" s="1547"/>
      <c r="P352" s="1547"/>
      <c r="Q352" s="1547"/>
      <c r="R352" s="1547"/>
      <c r="S352" s="1547"/>
      <c r="T352" s="1547"/>
      <c r="U352" s="1547"/>
      <c r="V352" s="1547"/>
      <c r="W352" s="1547"/>
      <c r="X352" s="1547"/>
      <c r="Y352" s="1547"/>
      <c r="Z352" s="1547"/>
      <c r="AA352" s="1547"/>
      <c r="AB352" s="1547"/>
      <c r="AC352" s="1547"/>
      <c r="AD352" s="1547"/>
      <c r="AE352" s="1547"/>
      <c r="AF352" s="1547"/>
      <c r="AG352" s="1547"/>
      <c r="AH352" s="1547"/>
      <c r="AI352" s="1547"/>
      <c r="AJ352" s="1547"/>
      <c r="AK352" s="1547"/>
      <c r="AL352" s="1547"/>
      <c r="AM352" s="1547"/>
      <c r="AN352" s="1547"/>
      <c r="AO352" s="1547"/>
      <c r="AP352" s="1547"/>
      <c r="AQ352" s="1547"/>
      <c r="AR352" s="1547"/>
      <c r="AS352" s="1547"/>
      <c r="AT352" s="154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418" t="s">
        <v>552</v>
      </c>
      <c r="N355" s="1418"/>
      <c r="P355" t="s">
        <v>1758</v>
      </c>
      <c r="AJ355" s="1418" t="s">
        <v>675</v>
      </c>
      <c r="AK355" s="1418"/>
    </row>
    <row r="356" spans="1:46" ht="12.95" customHeight="1">
      <c r="D356" s="3" t="s">
        <v>1747</v>
      </c>
      <c r="M356" s="1418" t="s">
        <v>598</v>
      </c>
      <c r="N356" s="1418"/>
      <c r="P356" s="3" t="s">
        <v>1904</v>
      </c>
      <c r="AJ356" s="1424"/>
      <c r="AK356" s="1424"/>
    </row>
    <row r="357" spans="1:46" ht="12.95" customHeight="1">
      <c r="D357" s="3" t="s">
        <v>711</v>
      </c>
      <c r="M357" s="1418" t="s">
        <v>598</v>
      </c>
      <c r="N357" s="1418"/>
      <c r="P357" t="s">
        <v>1757</v>
      </c>
      <c r="AJ357" s="1418" t="s">
        <v>598</v>
      </c>
      <c r="AK357" s="1418"/>
    </row>
    <row r="358" spans="1:46" ht="12.95" customHeight="1">
      <c r="D358" s="3" t="s">
        <v>712</v>
      </c>
      <c r="M358" s="1418" t="s">
        <v>598</v>
      </c>
      <c r="N358" s="1418"/>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8" t="s">
        <v>598</v>
      </c>
      <c r="O363" s="1418"/>
      <c r="P363" s="40"/>
      <c r="Q363" s="40"/>
      <c r="R363" s="40"/>
      <c r="S363" s="40"/>
      <c r="T363" s="40"/>
      <c r="U363" s="40"/>
      <c r="V363" s="40"/>
      <c r="W363" s="40"/>
      <c r="X363" s="40"/>
      <c r="Y363" s="40"/>
      <c r="Z363" s="40"/>
      <c r="AC363" s="40"/>
      <c r="AD363" s="40"/>
      <c r="AE363" s="40"/>
    </row>
    <row r="364" spans="1:46" ht="12.95" customHeight="1">
      <c r="E364" t="s">
        <v>370</v>
      </c>
      <c r="Y364" s="1418" t="s">
        <v>598</v>
      </c>
      <c r="Z364" s="1418"/>
    </row>
    <row r="365" spans="1:46" ht="12.95" customHeight="1">
      <c r="D365" s="4" t="s">
        <v>994</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8" t="s">
        <v>598</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9" t="s">
        <v>713</v>
      </c>
      <c r="F368" s="1549"/>
      <c r="G368" s="1549"/>
      <c r="H368" s="1549"/>
      <c r="I368" s="1549"/>
      <c r="J368" s="1549"/>
      <c r="K368" s="1549"/>
      <c r="L368" s="1549"/>
      <c r="M368" s="1549"/>
      <c r="N368" s="1549"/>
      <c r="O368" s="1549"/>
      <c r="P368" s="1549"/>
      <c r="Q368" s="1549"/>
      <c r="R368" s="1549"/>
      <c r="S368" s="1549"/>
      <c r="T368" s="1549"/>
      <c r="U368" s="1549"/>
      <c r="V368" s="1549"/>
      <c r="W368" s="1549"/>
      <c r="X368" s="1549"/>
      <c r="Y368" s="1549"/>
      <c r="Z368" s="1549"/>
      <c r="AA368" s="1549"/>
      <c r="AB368" s="1549"/>
      <c r="AC368" s="1549"/>
      <c r="AD368" s="1549"/>
      <c r="AE368" s="1549"/>
      <c r="AF368" s="1549"/>
      <c r="AG368" s="1549"/>
      <c r="AH368" s="1549"/>
    </row>
    <row r="369" spans="1:34" ht="12.95" customHeight="1">
      <c r="E369" s="1549"/>
      <c r="F369" s="1549"/>
      <c r="G369" s="1549"/>
      <c r="H369" s="1549"/>
      <c r="I369" s="1549"/>
      <c r="J369" s="1549"/>
      <c r="K369" s="1549"/>
      <c r="L369" s="1549"/>
      <c r="M369" s="1549"/>
      <c r="N369" s="1549"/>
      <c r="O369" s="1549"/>
      <c r="P369" s="1549"/>
      <c r="Q369" s="1549"/>
      <c r="R369" s="1549"/>
      <c r="S369" s="1549"/>
      <c r="T369" s="1549"/>
      <c r="U369" s="1549"/>
      <c r="V369" s="1549"/>
      <c r="W369" s="1549"/>
      <c r="X369" s="1549"/>
      <c r="Y369" s="1549"/>
      <c r="Z369" s="1549"/>
      <c r="AA369" s="1549"/>
      <c r="AB369" s="1549"/>
      <c r="AC369" s="1549"/>
      <c r="AD369" s="1549"/>
      <c r="AE369" s="1549"/>
      <c r="AF369" s="1549"/>
      <c r="AG369" s="1549"/>
      <c r="AH369" s="1549"/>
    </row>
    <row r="370" spans="1:34" ht="12.95" customHeight="1">
      <c r="E370" s="4" t="s">
        <v>455</v>
      </c>
      <c r="F370" s="4"/>
      <c r="G370" s="4"/>
      <c r="H370" s="4"/>
      <c r="I370" s="4"/>
      <c r="J370" s="4"/>
      <c r="K370" s="4"/>
      <c r="L370" s="4"/>
      <c r="N370" s="1417"/>
      <c r="O370" s="1417"/>
      <c r="P370" s="1417"/>
      <c r="Q370" s="1417"/>
      <c r="R370" s="4"/>
      <c r="U370" s="4" t="s">
        <v>456</v>
      </c>
      <c r="V370" s="4"/>
      <c r="W370" s="4"/>
      <c r="X370" s="4"/>
      <c r="Y370" s="4"/>
      <c r="Z370" s="4"/>
      <c r="AA370" s="4"/>
      <c r="AB370" s="4"/>
      <c r="AC370" s="1417"/>
      <c r="AD370" s="1417"/>
      <c r="AE370" s="1417"/>
      <c r="AF370" s="1417"/>
    </row>
    <row r="371" spans="1:34" ht="12.95" customHeight="1">
      <c r="E371" s="4" t="s">
        <v>457</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5"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38"/>
      <c r="T377" s="1438"/>
      <c r="U377" s="1" t="s">
        <v>306</v>
      </c>
      <c r="V377" s="1438"/>
      <c r="W377" s="1438"/>
      <c r="Y377" t="s">
        <v>2391</v>
      </c>
      <c r="AC377" s="27" t="s">
        <v>305</v>
      </c>
      <c r="AD377" s="1438"/>
      <c r="AE377" s="1438"/>
      <c r="AF377" s="1" t="s">
        <v>306</v>
      </c>
      <c r="AG377" s="1438"/>
      <c r="AH377" s="1438"/>
    </row>
    <row r="378" spans="1:34" ht="12.95" customHeight="1">
      <c r="E378" s="4" t="s">
        <v>1008</v>
      </c>
      <c r="F378" s="4"/>
      <c r="G378" s="4"/>
      <c r="H378" s="4"/>
      <c r="I378" s="4"/>
      <c r="J378" s="4"/>
      <c r="K378" s="4"/>
      <c r="L378" s="4"/>
      <c r="N378" s="1438"/>
      <c r="O378" s="1438"/>
      <c r="P378" s="1438"/>
    </row>
    <row r="379" spans="1:34" ht="12.95" customHeight="1">
      <c r="E379" s="218" t="s">
        <v>2397</v>
      </c>
      <c r="F379" s="4"/>
      <c r="G379" s="4"/>
      <c r="H379" s="4"/>
      <c r="I379" s="4"/>
      <c r="J379" s="4"/>
      <c r="K379" s="4"/>
      <c r="L379" s="4"/>
      <c r="AG379" s="1532" t="s">
        <v>598</v>
      </c>
      <c r="AH379" s="1532"/>
    </row>
    <row r="380" spans="1:34" ht="12.95" customHeight="1">
      <c r="E380" s="4"/>
      <c r="F380" s="4"/>
      <c r="G380" s="4" t="s">
        <v>2398</v>
      </c>
      <c r="H380" s="4"/>
      <c r="I380" s="4"/>
      <c r="J380" s="4"/>
      <c r="K380" s="4"/>
      <c r="L380" s="4"/>
      <c r="AG380" s="1532" t="s">
        <v>598</v>
      </c>
      <c r="AH380" s="1532"/>
    </row>
    <row r="381" spans="1:34" ht="12.95" customHeight="1">
      <c r="E381" s="4"/>
      <c r="F381" s="4"/>
      <c r="G381" s="348" t="s">
        <v>1009</v>
      </c>
      <c r="H381" s="4"/>
      <c r="I381" s="4"/>
      <c r="J381" s="4"/>
      <c r="K381" s="4"/>
      <c r="L381" s="4"/>
      <c r="V381" s="1418" t="s">
        <v>598</v>
      </c>
      <c r="W381" s="1418"/>
      <c r="Y381" s="22" t="s">
        <v>996</v>
      </c>
    </row>
    <row r="382" spans="1:34" ht="12.95" customHeight="1">
      <c r="E382" s="4" t="s">
        <v>997</v>
      </c>
      <c r="F382" s="4"/>
      <c r="G382" s="4"/>
      <c r="H382" s="4"/>
      <c r="I382" s="4"/>
      <c r="J382" s="4"/>
      <c r="K382" s="4"/>
      <c r="L382" s="4"/>
      <c r="V382" s="1418" t="s">
        <v>598</v>
      </c>
      <c r="W382" s="1418"/>
      <c r="Y382" s="4" t="s">
        <v>998</v>
      </c>
    </row>
    <row r="383" spans="1:34" ht="12.95" customHeight="1"/>
    <row r="384" spans="1:34" ht="12.95" customHeight="1">
      <c r="A384" s="2" t="s">
        <v>78</v>
      </c>
      <c r="B384" s="2"/>
    </row>
    <row r="385" spans="4:36" ht="12.95" customHeight="1">
      <c r="D385" t="s">
        <v>428</v>
      </c>
      <c r="J385" s="1432" t="s">
        <v>2744</v>
      </c>
      <c r="K385" s="1432"/>
      <c r="L385" s="1432"/>
      <c r="M385" s="1432"/>
      <c r="N385" s="1432"/>
      <c r="O385" s="1432"/>
      <c r="P385" s="1432"/>
      <c r="Q385" s="1432"/>
      <c r="R385" s="1432"/>
      <c r="S385" s="1432"/>
      <c r="T385" s="1432"/>
      <c r="U385" s="1432"/>
      <c r="V385" s="8" t="s">
        <v>83</v>
      </c>
      <c r="W385" s="8"/>
      <c r="X385" s="8"/>
      <c r="Y385" s="8"/>
      <c r="Z385" s="8"/>
      <c r="AA385" s="8"/>
      <c r="AB385" s="8"/>
      <c r="AC385" s="1432" t="s">
        <v>2745</v>
      </c>
      <c r="AD385" s="1432"/>
      <c r="AE385" s="1432"/>
      <c r="AF385" s="1432"/>
      <c r="AG385" s="1432"/>
      <c r="AH385" s="1432"/>
      <c r="AI385" s="1432"/>
      <c r="AJ385" s="1432"/>
    </row>
    <row r="386" spans="4:36" ht="12.95" customHeight="1">
      <c r="D386" s="3" t="s">
        <v>1285</v>
      </c>
      <c r="J386" s="1431" t="s">
        <v>2759</v>
      </c>
      <c r="K386" s="1431"/>
      <c r="L386" s="1431"/>
      <c r="M386" s="1431"/>
      <c r="N386" s="1431"/>
      <c r="O386" s="1431"/>
      <c r="P386" s="1431"/>
      <c r="Q386" s="1431"/>
      <c r="R386" s="1431"/>
      <c r="S386" s="1431"/>
      <c r="T386" s="1431"/>
      <c r="U386" s="1431"/>
      <c r="V386" s="3" t="s">
        <v>1285</v>
      </c>
      <c r="W386" s="8"/>
      <c r="X386" s="8"/>
      <c r="Y386" s="8"/>
      <c r="Z386" s="8"/>
      <c r="AA386" s="8"/>
      <c r="AB386" s="8"/>
      <c r="AC386" s="1432"/>
      <c r="AD386" s="1432"/>
      <c r="AE386" s="1432"/>
      <c r="AF386" s="1432"/>
      <c r="AG386" s="1432"/>
      <c r="AH386" s="1432"/>
      <c r="AI386" s="1432"/>
      <c r="AJ386" s="1432"/>
    </row>
    <row r="387" spans="4:36" ht="12.95" customHeight="1">
      <c r="D387" s="3" t="s">
        <v>442</v>
      </c>
      <c r="J387" s="1431" t="s">
        <v>2760</v>
      </c>
      <c r="K387" s="1431"/>
      <c r="L387" s="1431"/>
      <c r="M387" s="1431"/>
      <c r="N387" s="1431"/>
      <c r="O387" s="1431"/>
      <c r="P387" s="1431"/>
      <c r="Q387" s="1431"/>
      <c r="R387" s="1431"/>
      <c r="S387" s="1431"/>
      <c r="T387" s="1431"/>
      <c r="U387" s="1431"/>
      <c r="V387" s="3" t="s">
        <v>442</v>
      </c>
      <c r="W387" s="8"/>
      <c r="X387" s="8"/>
      <c r="Y387" s="8"/>
      <c r="Z387" s="8"/>
      <c r="AA387" s="8"/>
      <c r="AB387" s="8"/>
      <c r="AC387" s="1432"/>
      <c r="AD387" s="1432"/>
      <c r="AE387" s="1432"/>
      <c r="AF387" s="1432"/>
      <c r="AG387" s="1432"/>
      <c r="AH387" s="1432"/>
      <c r="AI387" s="1432"/>
      <c r="AJ387" s="1432"/>
    </row>
    <row r="388" spans="4:36" ht="12.95" customHeight="1">
      <c r="D388" t="s">
        <v>1281</v>
      </c>
      <c r="J388" s="1421" t="s">
        <v>2761</v>
      </c>
      <c r="K388" s="1421"/>
      <c r="L388" s="1421"/>
      <c r="M388" s="1421"/>
      <c r="N388" s="1421"/>
      <c r="O388" s="1421"/>
      <c r="P388" s="1421"/>
      <c r="Q388" s="1421"/>
      <c r="R388" s="1421"/>
      <c r="S388" s="1421"/>
      <c r="T388" s="1421"/>
      <c r="U388" s="1421"/>
      <c r="V388" s="1432" t="s">
        <v>2762</v>
      </c>
      <c r="W388" s="1432"/>
      <c r="X388" s="1432"/>
      <c r="Y388" s="1432"/>
      <c r="Z388" s="1432"/>
      <c r="AA388" s="1432"/>
      <c r="AB388" s="1432"/>
      <c r="AC388" s="1432"/>
      <c r="AD388" s="1432"/>
      <c r="AE388" s="1432"/>
      <c r="AF388" s="1432"/>
      <c r="AG388" s="1432"/>
      <c r="AH388" s="1432"/>
      <c r="AI388" s="1432"/>
      <c r="AJ388" s="1432"/>
    </row>
    <row r="389" spans="4:36" ht="12.95" customHeight="1">
      <c r="D389" t="s">
        <v>4</v>
      </c>
      <c r="Q389" s="1726">
        <v>37357</v>
      </c>
      <c r="R389" s="1726"/>
      <c r="S389" s="1726"/>
      <c r="T389" s="1726"/>
      <c r="U389" s="1726"/>
      <c r="V389" t="s">
        <v>309</v>
      </c>
      <c r="AI389" s="1418" t="s">
        <v>675</v>
      </c>
      <c r="AJ389" s="1418"/>
    </row>
    <row r="390" spans="4:36" ht="12.95" customHeight="1">
      <c r="D390" t="s">
        <v>5</v>
      </c>
      <c r="Q390" s="1610">
        <v>46203</v>
      </c>
      <c r="R390" s="1723"/>
      <c r="S390" s="1723"/>
      <c r="T390" s="1723"/>
      <c r="U390" s="1723"/>
      <c r="W390" s="21" t="s">
        <v>74</v>
      </c>
      <c r="AG390" s="1433"/>
      <c r="AH390" s="1433"/>
      <c r="AI390" s="1433"/>
      <c r="AJ390" s="1433"/>
    </row>
    <row r="391" spans="4:36" ht="12.95" customHeight="1">
      <c r="D391" t="s">
        <v>427</v>
      </c>
      <c r="Q391" s="1646" t="s">
        <v>598</v>
      </c>
      <c r="R391" s="1722"/>
      <c r="S391" s="1722"/>
      <c r="T391" s="1722"/>
      <c r="U391" s="1722"/>
      <c r="V391" s="3" t="s">
        <v>1284</v>
      </c>
      <c r="AG391" s="1530">
        <v>45812</v>
      </c>
      <c r="AH391" s="1530"/>
      <c r="AI391" s="1530"/>
      <c r="AJ391" s="1530"/>
    </row>
    <row r="392" spans="4:36" ht="12.95" customHeight="1">
      <c r="D392" t="s">
        <v>88</v>
      </c>
      <c r="I392" s="1521" t="s">
        <v>2748</v>
      </c>
      <c r="J392" s="1522"/>
      <c r="K392" s="1522"/>
      <c r="L392" s="1522"/>
      <c r="M392" s="1522"/>
      <c r="N392" s="1522"/>
      <c r="Q392" s="4" t="s">
        <v>206</v>
      </c>
      <c r="S392" s="1725"/>
      <c r="T392" s="1725"/>
      <c r="U392" s="1725"/>
      <c r="V392" t="s">
        <v>73</v>
      </c>
      <c r="AI392" s="1418" t="s">
        <v>675</v>
      </c>
      <c r="AJ392" s="1418"/>
    </row>
    <row r="393" spans="4:36" ht="12.95" customHeight="1">
      <c r="D393" t="s">
        <v>310</v>
      </c>
      <c r="Q393" s="1531">
        <v>9.9999999999999995E-8</v>
      </c>
      <c r="R393" s="1531"/>
      <c r="S393" s="1531"/>
      <c r="T393" s="1531"/>
      <c r="U393" s="1531"/>
      <c r="V393" t="s">
        <v>311</v>
      </c>
      <c r="AG393" s="1433">
        <v>9.9999999999999995E-7</v>
      </c>
      <c r="AH393" s="1433"/>
      <c r="AI393" s="1433"/>
      <c r="AJ393" s="1433"/>
    </row>
    <row r="394" spans="4:36" ht="12.95" customHeight="1">
      <c r="D394" t="s">
        <v>312</v>
      </c>
      <c r="Q394" s="1580">
        <v>1E-8</v>
      </c>
      <c r="R394" s="1580"/>
      <c r="S394" s="1580"/>
      <c r="T394" s="1580"/>
      <c r="U394" s="1580"/>
      <c r="V394" t="s">
        <v>1265</v>
      </c>
      <c r="AG394" s="1433"/>
      <c r="AH394" s="1433"/>
      <c r="AI394" s="1433"/>
      <c r="AJ394" s="1433"/>
    </row>
    <row r="395" spans="4:36" ht="12.95" customHeight="1">
      <c r="D395" t="s">
        <v>1264</v>
      </c>
      <c r="AG395" s="1433"/>
      <c r="AH395" s="1433"/>
      <c r="AI395" s="1433"/>
      <c r="AJ395" s="1433"/>
    </row>
    <row r="396" spans="4:36" ht="12.95" customHeight="1">
      <c r="AG396" s="490"/>
      <c r="AH396" s="490"/>
      <c r="AI396" s="490"/>
      <c r="AJ396" s="490"/>
    </row>
    <row r="397" spans="4:36" ht="12.95" customHeight="1">
      <c r="D397" s="3" t="s">
        <v>2497</v>
      </c>
      <c r="AG397" s="490"/>
      <c r="AH397" s="490"/>
      <c r="AI397" s="1418" t="s">
        <v>675</v>
      </c>
      <c r="AJ397" s="1418"/>
    </row>
    <row r="398" spans="4:36" ht="12.95" customHeight="1">
      <c r="D398" s="3" t="s">
        <v>1776</v>
      </c>
      <c r="T398" s="1415" t="s">
        <v>598</v>
      </c>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1775</v>
      </c>
      <c r="T399" s="1415" t="s">
        <v>598</v>
      </c>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1769</v>
      </c>
      <c r="S401" s="1415" t="s">
        <v>552</v>
      </c>
      <c r="T401" s="1415"/>
      <c r="U401" s="1415"/>
      <c r="V401" t="s">
        <v>1770</v>
      </c>
      <c r="AG401" s="1439">
        <v>99</v>
      </c>
      <c r="AH401" s="1439"/>
      <c r="AI401" s="1439"/>
      <c r="AJ401" s="1439"/>
    </row>
    <row r="402" spans="1:36" ht="12.95" customHeight="1">
      <c r="D402" s="3" t="s">
        <v>1767</v>
      </c>
      <c r="S402" s="1415" t="s">
        <v>552</v>
      </c>
      <c r="T402" s="1415"/>
      <c r="U402" s="1415"/>
      <c r="V402" t="s">
        <v>1772</v>
      </c>
      <c r="AE402" s="1468">
        <v>1</v>
      </c>
      <c r="AF402" s="1468"/>
      <c r="AG402" s="1468"/>
      <c r="AH402" s="1468"/>
      <c r="AI402" s="1468"/>
      <c r="AJ402" s="1468"/>
    </row>
    <row r="403" spans="1:36" ht="12.95" customHeight="1">
      <c r="D403" s="3" t="s">
        <v>1768</v>
      </c>
      <c r="K403" s="1464"/>
      <c r="L403" s="1464"/>
      <c r="M403" s="1464"/>
      <c r="N403" s="1464"/>
      <c r="O403" s="1464"/>
      <c r="P403" s="1464"/>
      <c r="Q403" s="1464"/>
      <c r="R403" s="1464"/>
      <c r="S403" s="1464"/>
      <c r="T403" s="1464"/>
      <c r="U403" s="1464"/>
      <c r="V403" s="1464"/>
      <c r="W403" s="1464"/>
      <c r="X403" s="1464"/>
      <c r="Y403" s="1464"/>
      <c r="Z403" s="1464"/>
      <c r="AA403" s="1464"/>
      <c r="AB403" s="1464"/>
      <c r="AC403" s="1464"/>
      <c r="AD403" s="1464"/>
      <c r="AE403" s="1464"/>
      <c r="AF403" s="1464"/>
      <c r="AG403" s="1464"/>
      <c r="AH403" s="1464"/>
      <c r="AI403" s="1464"/>
      <c r="AJ403" s="1464"/>
    </row>
    <row r="404" spans="1:36" ht="12.95" customHeight="1">
      <c r="D404" s="3" t="s">
        <v>1771</v>
      </c>
      <c r="K404" s="1464" t="s">
        <v>2744</v>
      </c>
      <c r="L404" s="1464"/>
      <c r="M404" s="1464"/>
      <c r="N404" s="1464"/>
      <c r="O404" s="1464"/>
      <c r="P404" s="1464"/>
      <c r="Q404" s="1464"/>
      <c r="R404" s="1464"/>
      <c r="S404" s="1464"/>
      <c r="T404" s="1464"/>
      <c r="U404" s="1464"/>
      <c r="V404" s="1464"/>
      <c r="W404" s="1464"/>
      <c r="X404" s="1464"/>
      <c r="Y404" s="1464"/>
      <c r="Z404" s="1464"/>
      <c r="AA404" s="1464"/>
      <c r="AB404" s="1464"/>
      <c r="AC404" s="1464"/>
      <c r="AD404" s="1464"/>
      <c r="AE404" s="1464"/>
      <c r="AF404" s="1464"/>
      <c r="AG404" s="1464"/>
      <c r="AH404" s="1464"/>
      <c r="AI404" s="1464"/>
      <c r="AJ404" s="1464"/>
    </row>
    <row r="405" spans="1:36" ht="12.95" customHeight="1">
      <c r="D405" s="3" t="s">
        <v>1774</v>
      </c>
      <c r="E405" s="511"/>
      <c r="F405" s="511"/>
      <c r="G405" s="511"/>
      <c r="H405" s="511"/>
      <c r="I405" s="511"/>
      <c r="J405" s="511"/>
      <c r="K405" s="511"/>
      <c r="L405" s="511"/>
      <c r="M405" s="511"/>
      <c r="N405" s="511"/>
      <c r="O405" s="511"/>
      <c r="P405" s="511"/>
      <c r="Q405" s="511"/>
      <c r="R405" s="511"/>
      <c r="S405" s="1517" t="s">
        <v>2763</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4" t="s">
        <v>2737</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2.95" customHeight="1">
      <c r="E411" t="s">
        <v>106</v>
      </c>
      <c r="R411" s="1418" t="s">
        <v>552</v>
      </c>
      <c r="S411" s="1418"/>
      <c r="AC411" s="27" t="s">
        <v>577</v>
      </c>
      <c r="AD411" s="1417">
        <v>6</v>
      </c>
      <c r="AE411" s="1417"/>
    </row>
    <row r="412" spans="1:36" ht="12.95" customHeight="1">
      <c r="E412" t="s">
        <v>107</v>
      </c>
      <c r="R412" s="1418" t="s">
        <v>598</v>
      </c>
      <c r="S412" s="1418"/>
      <c r="AC412" s="27" t="s">
        <v>577</v>
      </c>
      <c r="AD412" s="1417"/>
      <c r="AE412" s="1417"/>
    </row>
    <row r="413" spans="1:36" ht="12.95" customHeight="1">
      <c r="E413" t="s">
        <v>108</v>
      </c>
      <c r="S413" s="1418" t="s">
        <v>598</v>
      </c>
      <c r="T413" s="1418"/>
    </row>
    <row r="414" spans="1:36" ht="12.95" customHeight="1">
      <c r="E414" t="s">
        <v>169</v>
      </c>
      <c r="H414" s="1462" t="s">
        <v>2764</v>
      </c>
      <c r="I414" s="1462"/>
      <c r="J414" s="1462"/>
      <c r="K414" s="1462"/>
      <c r="L414" s="1462"/>
      <c r="M414" s="1462"/>
      <c r="N414" s="1462"/>
      <c r="O414" s="1462"/>
      <c r="P414" s="1462"/>
      <c r="Q414" s="1462"/>
      <c r="R414" s="1462"/>
      <c r="S414" s="1462"/>
      <c r="T414" s="1462"/>
      <c r="U414" s="1462"/>
      <c r="V414" s="1462"/>
      <c r="W414" s="1462"/>
      <c r="X414" s="1462"/>
      <c r="Y414" s="1462"/>
      <c r="Z414" s="1462"/>
      <c r="AA414" s="1462"/>
      <c r="AB414" s="1462"/>
      <c r="AC414" s="1462"/>
      <c r="AD414" s="1462"/>
      <c r="AE414" s="1462"/>
    </row>
    <row r="415" spans="1:36" ht="12.95" customHeight="1">
      <c r="H415" s="1463"/>
      <c r="I415" s="1463"/>
      <c r="J415" s="1463"/>
      <c r="K415" s="1463"/>
      <c r="L415" s="1463"/>
      <c r="M415" s="1463"/>
      <c r="N415" s="1463"/>
      <c r="O415" s="1463"/>
      <c r="P415" s="1463"/>
      <c r="Q415" s="1463"/>
      <c r="R415" s="1463"/>
      <c r="S415" s="1463"/>
      <c r="T415" s="1463"/>
      <c r="U415" s="1463"/>
      <c r="V415" s="1463"/>
      <c r="W415" s="1463"/>
      <c r="X415" s="1463"/>
      <c r="Y415" s="1463"/>
      <c r="Z415" s="1463"/>
      <c r="AA415" s="1463"/>
      <c r="AB415" s="1463"/>
      <c r="AC415" s="1463"/>
      <c r="AD415" s="1463"/>
      <c r="AE415" s="1463"/>
    </row>
    <row r="416" spans="1:36" ht="12.95" customHeight="1"/>
    <row r="417" spans="1:39" ht="12.95" customHeight="1">
      <c r="A417" s="2" t="s">
        <v>597</v>
      </c>
      <c r="B417" s="2"/>
      <c r="C417" s="2"/>
      <c r="D417" s="2" t="s">
        <v>114</v>
      </c>
      <c r="AF417" s="2" t="s">
        <v>974</v>
      </c>
    </row>
    <row r="418" spans="1:39" ht="12.95" customHeight="1">
      <c r="E418" s="1438"/>
      <c r="F418" s="1438"/>
      <c r="G418" s="1438"/>
      <c r="H418" s="13" t="s">
        <v>115</v>
      </c>
      <c r="I418" s="1438"/>
      <c r="J418" s="1438"/>
      <c r="K418" s="1438"/>
      <c r="L418" t="s">
        <v>116</v>
      </c>
      <c r="N418" s="27" t="s">
        <v>582</v>
      </c>
      <c r="P418" s="1724">
        <v>1.79</v>
      </c>
      <c r="Q418" s="1724"/>
      <c r="R418" s="1724"/>
      <c r="S418" t="s">
        <v>117</v>
      </c>
      <c r="W418" s="1398">
        <f>IF(E418&gt;0,(E418*I418),(P418*43560))</f>
        <v>77972.400000000009</v>
      </c>
      <c r="X418" s="1398"/>
      <c r="Y418" s="1398"/>
      <c r="Z418" t="s">
        <v>118</v>
      </c>
      <c r="AF418" s="1721">
        <f>IFERROR(IF(P418&gt;0,(AG437/P418),(AG437/(W418/43560))),0)</f>
        <v>83.798882681564251</v>
      </c>
      <c r="AG418" s="1721"/>
      <c r="AH418" s="1721"/>
      <c r="AM418" s="3"/>
    </row>
    <row r="419" spans="1:39" ht="12.95" customHeight="1">
      <c r="E419" t="s">
        <v>51</v>
      </c>
    </row>
    <row r="420" spans="1:39" ht="12.95" customHeight="1">
      <c r="E420" s="1467"/>
      <c r="F420" s="1467"/>
      <c r="G420" s="1467"/>
      <c r="H420" s="1467"/>
      <c r="I420" s="1467"/>
      <c r="J420" s="1467"/>
      <c r="K420" s="1467"/>
      <c r="L420" s="1467"/>
      <c r="M420" s="1467"/>
      <c r="N420" s="1467"/>
      <c r="O420" s="1467"/>
      <c r="P420" s="1467"/>
      <c r="Q420" s="1467"/>
      <c r="R420" s="1467"/>
      <c r="S420" s="1467"/>
      <c r="T420" s="1467"/>
      <c r="U420" s="1467"/>
      <c r="V420" s="1467"/>
      <c r="W420" s="1467"/>
      <c r="X420" s="1467"/>
      <c r="Y420" s="1467"/>
      <c r="Z420" s="1467"/>
      <c r="AA420" s="1467"/>
      <c r="AB420" s="1467"/>
      <c r="AC420" s="1467"/>
      <c r="AD420" s="1467"/>
      <c r="AE420" s="1467"/>
      <c r="AF420" s="1467"/>
      <c r="AG420" s="1467"/>
      <c r="AH420" s="1467"/>
      <c r="AI420" s="1467"/>
      <c r="AJ420" s="1467"/>
    </row>
    <row r="421" spans="1:39" ht="12.95" customHeight="1">
      <c r="E421" s="118" t="s">
        <v>1921</v>
      </c>
      <c r="F421" s="1048"/>
      <c r="G421" s="1048"/>
      <c r="H421" s="1048"/>
      <c r="I421" s="1578">
        <v>1.79</v>
      </c>
      <c r="J421" s="1578"/>
      <c r="K421" s="1578"/>
      <c r="L421" s="1048"/>
      <c r="M421" s="118"/>
      <c r="N421" s="1048"/>
      <c r="O421" s="1048"/>
      <c r="P421" s="1840">
        <f>(CS634+CS642+CS658)/I421</f>
        <v>177.09497206703909</v>
      </c>
      <c r="Q421" s="1840"/>
      <c r="R421" s="1840"/>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8">
        <v>1</v>
      </c>
      <c r="Q424" s="1418"/>
      <c r="S424" t="s">
        <v>189</v>
      </c>
      <c r="AE424" s="1418">
        <v>1</v>
      </c>
      <c r="AF424" s="1418"/>
    </row>
    <row r="425" spans="1:39" ht="12.95" customHeight="1">
      <c r="E425" t="s">
        <v>190</v>
      </c>
      <c r="P425" s="1418"/>
      <c r="Q425" s="1418"/>
      <c r="S425" t="s">
        <v>131</v>
      </c>
      <c r="AE425" s="1418" t="s">
        <v>598</v>
      </c>
      <c r="AF425" s="1418"/>
    </row>
    <row r="426" spans="1:39" ht="12.95" customHeight="1">
      <c r="F426" s="28" t="s">
        <v>132</v>
      </c>
    </row>
    <row r="427" spans="1:39" ht="12.95" customHeight="1">
      <c r="F427" s="1459" t="s">
        <v>2787</v>
      </c>
      <c r="G427" s="1459"/>
      <c r="H427" s="1459"/>
      <c r="I427" s="1459"/>
      <c r="J427" s="1459"/>
      <c r="K427" s="1459"/>
      <c r="L427" s="1459"/>
      <c r="M427" s="1459"/>
      <c r="N427" s="1459"/>
      <c r="O427" s="1459"/>
      <c r="P427" s="1459"/>
      <c r="Q427" s="1459"/>
      <c r="R427" s="1459"/>
      <c r="S427" s="1459"/>
      <c r="T427" s="1459"/>
      <c r="U427" s="1459"/>
      <c r="V427" s="1459"/>
      <c r="W427" s="1459"/>
      <c r="X427" s="1459"/>
      <c r="Y427" s="1459"/>
      <c r="Z427" s="1459"/>
      <c r="AA427" s="1459"/>
      <c r="AB427" s="1459"/>
      <c r="AC427" s="1459"/>
      <c r="AD427" s="1459"/>
      <c r="AE427" s="1459"/>
      <c r="AF427" s="1459"/>
      <c r="AG427" s="1459"/>
      <c r="AH427" s="1459"/>
    </row>
    <row r="428" spans="1:39" ht="12.95" customHeight="1">
      <c r="F428" s="1460"/>
      <c r="G428" s="1460"/>
      <c r="H428" s="1460"/>
      <c r="I428" s="1460"/>
      <c r="J428" s="1460"/>
      <c r="K428" s="1460"/>
      <c r="L428" s="1460"/>
      <c r="M428" s="1460"/>
      <c r="N428" s="1460"/>
      <c r="O428" s="1460"/>
      <c r="P428" s="1460"/>
      <c r="Q428" s="1460"/>
      <c r="R428" s="1460"/>
      <c r="S428" s="1460"/>
      <c r="T428" s="1460"/>
      <c r="U428" s="1460"/>
      <c r="V428" s="1460"/>
      <c r="W428" s="1460"/>
      <c r="X428" s="1460"/>
      <c r="Y428" s="1460"/>
      <c r="Z428" s="1460"/>
      <c r="AA428" s="1460"/>
      <c r="AB428" s="1460"/>
      <c r="AC428" s="1460"/>
      <c r="AD428" s="1460"/>
      <c r="AE428" s="1460"/>
      <c r="AF428" s="1460"/>
      <c r="AG428" s="1460"/>
      <c r="AH428" s="1460"/>
    </row>
    <row r="429" spans="1:39" ht="12.95" customHeight="1">
      <c r="E429" t="s">
        <v>615</v>
      </c>
      <c r="P429" s="1"/>
      <c r="Q429" s="1418" t="s">
        <v>552</v>
      </c>
      <c r="R429" s="1418"/>
    </row>
    <row r="430" spans="1:39" ht="12.95" customHeight="1">
      <c r="F430" t="s">
        <v>616</v>
      </c>
      <c r="P430" s="1"/>
      <c r="Q430" s="1"/>
      <c r="AF430" s="1418" t="s">
        <v>598</v>
      </c>
      <c r="AG430" s="1461"/>
    </row>
    <row r="431" spans="1:39" ht="12.95" customHeight="1"/>
    <row r="432" spans="1:39" ht="12.95" customHeight="1">
      <c r="A432" s="2"/>
      <c r="B432" s="2"/>
      <c r="C432" s="2"/>
      <c r="E432" s="4" t="s">
        <v>308</v>
      </c>
      <c r="Z432" s="1418" t="s">
        <v>675</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418" t="s">
        <v>598</v>
      </c>
      <c r="AA434" s="1418"/>
    </row>
    <row r="435" spans="1:110" ht="12.95" customHeight="1"/>
    <row r="436" spans="1:110" ht="12.95" customHeight="1">
      <c r="A436" s="2" t="s">
        <v>474</v>
      </c>
      <c r="B436" s="2"/>
      <c r="C436" s="2"/>
      <c r="D436" s="2" t="s">
        <v>771</v>
      </c>
      <c r="AF436" s="48"/>
    </row>
    <row r="437" spans="1:110" ht="12.95"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150</v>
      </c>
      <c r="AH437" s="1429"/>
      <c r="AI437" s="1429"/>
      <c r="AJ437" s="1429"/>
    </row>
    <row r="438" spans="1:110" ht="12.95" customHeight="1">
      <c r="D438" s="1403" t="s">
        <v>1326</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5"/>
      <c r="AH438" s="1466"/>
      <c r="AI438" s="1466"/>
      <c r="AJ438" s="1466"/>
    </row>
    <row r="439" spans="1:110" ht="12.95" customHeight="1">
      <c r="D439" s="1403" t="s">
        <v>1052</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149</v>
      </c>
      <c r="AH439" s="1429"/>
      <c r="AI439" s="1429"/>
      <c r="AJ439" s="1429"/>
    </row>
    <row r="440" spans="1:110" ht="12.95" customHeight="1">
      <c r="D440" s="1403" t="s">
        <v>1053</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149</v>
      </c>
      <c r="AH440" s="1429"/>
      <c r="AI440" s="1429"/>
      <c r="AJ440" s="1429"/>
    </row>
    <row r="441" spans="1:110" ht="12.95" customHeight="1">
      <c r="D441" s="1403" t="s">
        <v>1055</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1054</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121149</v>
      </c>
      <c r="AH442" s="1402"/>
      <c r="AI442" s="1402"/>
      <c r="AJ442" s="1402"/>
    </row>
    <row r="443" spans="1:110" ht="12.95" customHeight="1">
      <c r="D443" s="1403" t="s">
        <v>1056</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121149</v>
      </c>
      <c r="AH443" s="1402"/>
      <c r="AI443" s="1402"/>
      <c r="AJ443" s="1402"/>
    </row>
    <row r="444" spans="1:110" ht="12.95" customHeight="1">
      <c r="D444" s="1403" t="s">
        <v>1057</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1058</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2399</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2736</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0" t="s">
        <v>576</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1308</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46514</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1059</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5" t="s">
        <v>1060</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69">
        <f>AG442+AG446+AG448+AG449</f>
        <v>170399</v>
      </c>
      <c r="AH450" s="1469"/>
      <c r="AI450" s="1469"/>
      <c r="AJ450" s="146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8" t="s">
        <v>1309</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817432.7466666667</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817432.7466666667</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751832.6</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9"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9"/>
      <c r="H457" s="1449"/>
      <c r="I457" s="1449"/>
      <c r="J457" s="1449"/>
      <c r="K457" s="1449"/>
      <c r="L457" s="1449"/>
      <c r="M457" s="1449"/>
      <c r="N457" s="1449"/>
      <c r="O457" s="1449"/>
      <c r="P457" s="1449"/>
      <c r="Q457" s="1449"/>
      <c r="R457" s="1449"/>
      <c r="S457" s="1449"/>
      <c r="T457" s="1449"/>
      <c r="U457" s="1449"/>
      <c r="V457" s="1449"/>
      <c r="W457" s="1449"/>
      <c r="X457" s="1449"/>
      <c r="Y457" s="1449"/>
      <c r="Z457" s="1449"/>
      <c r="AA457" s="1449"/>
      <c r="AB457" s="144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9"/>
      <c r="G458" s="1449"/>
      <c r="H458" s="1449"/>
      <c r="I458" s="1449"/>
      <c r="J458" s="1449"/>
      <c r="K458" s="1449"/>
      <c r="L458" s="1449"/>
      <c r="M458" s="1449"/>
      <c r="N458" s="1449"/>
      <c r="O458" s="1449"/>
      <c r="P458" s="1449"/>
      <c r="Q458" s="1449"/>
      <c r="R458" s="1449"/>
      <c r="S458" s="1449"/>
      <c r="T458" s="1449"/>
      <c r="U458" s="1449"/>
      <c r="V458" s="1449"/>
      <c r="W458" s="1449"/>
      <c r="X458" s="1449"/>
      <c r="Y458" s="1449"/>
      <c r="Z458" s="1449"/>
      <c r="AA458" s="1449"/>
      <c r="AB458" s="144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2413</v>
      </c>
      <c r="E465" s="1427"/>
      <c r="F465" s="1427"/>
      <c r="G465" s="1427"/>
      <c r="H465" s="1427"/>
      <c r="I465" s="1427"/>
      <c r="J465" s="1427"/>
      <c r="K465" s="1427"/>
      <c r="L465" s="1427"/>
      <c r="M465" s="1427"/>
      <c r="N465" s="1427"/>
      <c r="O465" s="1427"/>
      <c r="P465" s="1427"/>
      <c r="Q465" s="1427"/>
      <c r="R465" s="1427"/>
      <c r="S465" s="1427"/>
      <c r="T465" s="1427"/>
      <c r="U465" s="1427"/>
      <c r="V465" s="1428"/>
      <c r="W465" s="1444"/>
      <c r="X465" s="1445"/>
      <c r="Y465" s="144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0" t="s">
        <v>700</v>
      </c>
      <c r="E466" s="1427"/>
      <c r="F466" s="1427"/>
      <c r="G466" s="1427"/>
      <c r="H466" s="1427"/>
      <c r="I466" s="1427"/>
      <c r="J466" s="1427"/>
      <c r="K466" s="1427"/>
      <c r="L466" s="1427"/>
      <c r="M466" s="1427"/>
      <c r="N466" s="1427"/>
      <c r="O466" s="1427"/>
      <c r="P466" s="1427"/>
      <c r="Q466" s="1427"/>
      <c r="R466" s="1427"/>
      <c r="S466" s="1427"/>
      <c r="T466" s="1427"/>
      <c r="U466" s="1427"/>
      <c r="V466" s="1428"/>
      <c r="W466" s="1444"/>
      <c r="X466" s="1445"/>
      <c r="Y466" s="144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0" t="s">
        <v>701</v>
      </c>
      <c r="E467" s="1427"/>
      <c r="F467" s="1427"/>
      <c r="G467" s="1427"/>
      <c r="H467" s="1427"/>
      <c r="I467" s="1427"/>
      <c r="J467" s="1427"/>
      <c r="K467" s="1427"/>
      <c r="L467" s="1427"/>
      <c r="M467" s="1427"/>
      <c r="N467" s="1427"/>
      <c r="O467" s="1427"/>
      <c r="P467" s="1427"/>
      <c r="Q467" s="1427"/>
      <c r="R467" s="1427"/>
      <c r="S467" s="1427"/>
      <c r="T467" s="1427"/>
      <c r="U467" s="1427"/>
      <c r="V467" s="1428"/>
      <c r="W467" s="1444"/>
      <c r="X467" s="1445"/>
      <c r="Y467" s="144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0" t="s">
        <v>702</v>
      </c>
      <c r="E468" s="1427"/>
      <c r="F468" s="1427"/>
      <c r="G468" s="1427"/>
      <c r="H468" s="1427"/>
      <c r="I468" s="1427"/>
      <c r="J468" s="1427"/>
      <c r="K468" s="1427"/>
      <c r="L468" s="1427"/>
      <c r="M468" s="1427"/>
      <c r="N468" s="1427"/>
      <c r="O468" s="1427"/>
      <c r="P468" s="1427"/>
      <c r="Q468" s="1427"/>
      <c r="R468" s="1427"/>
      <c r="S468" s="1427"/>
      <c r="T468" s="1427"/>
      <c r="U468" s="1427"/>
      <c r="V468" s="1428"/>
      <c r="W468" s="1444"/>
      <c r="X468" s="1445"/>
      <c r="Y468" s="144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0" t="s">
        <v>891</v>
      </c>
      <c r="E469" s="1427"/>
      <c r="F469" s="1427"/>
      <c r="G469" s="1427"/>
      <c r="H469" s="1427"/>
      <c r="I469" s="1427"/>
      <c r="J469" s="1427"/>
      <c r="K469" s="1427"/>
      <c r="L469" s="1427"/>
      <c r="M469" s="1427"/>
      <c r="N469" s="1427"/>
      <c r="O469" s="1427"/>
      <c r="P469" s="1427"/>
      <c r="Q469" s="1427"/>
      <c r="R469" s="1427"/>
      <c r="S469" s="1427"/>
      <c r="T469" s="1427"/>
      <c r="U469" s="1427"/>
      <c r="V469" s="1428"/>
      <c r="W469" s="1444"/>
      <c r="X469" s="1445"/>
      <c r="Y469" s="144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0" t="s">
        <v>703</v>
      </c>
      <c r="E470" s="1427"/>
      <c r="F470" s="1427"/>
      <c r="G470" s="1427"/>
      <c r="H470" s="1427"/>
      <c r="I470" s="1427"/>
      <c r="J470" s="1427"/>
      <c r="K470" s="1427"/>
      <c r="L470" s="1427"/>
      <c r="M470" s="1427"/>
      <c r="N470" s="1427"/>
      <c r="O470" s="1427"/>
      <c r="P470" s="1427"/>
      <c r="Q470" s="1427"/>
      <c r="R470" s="1427"/>
      <c r="S470" s="1427"/>
      <c r="T470" s="1427"/>
      <c r="U470" s="1427"/>
      <c r="V470" s="1428"/>
      <c r="W470" s="1444"/>
      <c r="X470" s="1445"/>
      <c r="Y470" s="1446"/>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0" t="s">
        <v>1033</v>
      </c>
      <c r="E471" s="1427"/>
      <c r="F471" s="1427"/>
      <c r="G471" s="1427"/>
      <c r="H471" s="1427"/>
      <c r="I471" s="1427"/>
      <c r="J471" s="1427"/>
      <c r="K471" s="1427"/>
      <c r="L471" s="1427"/>
      <c r="M471" s="1427"/>
      <c r="N471" s="1427"/>
      <c r="O471" s="1427"/>
      <c r="P471" s="1427"/>
      <c r="Q471" s="1427"/>
      <c r="R471" s="1427"/>
      <c r="S471" s="1427"/>
      <c r="T471" s="1427"/>
      <c r="U471" s="1427"/>
      <c r="V471" s="1428"/>
      <c r="W471" s="1444"/>
      <c r="X471" s="1445"/>
      <c r="Y471" s="144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2548</v>
      </c>
      <c r="E472" s="1457"/>
      <c r="F472" s="1457"/>
      <c r="G472" s="1457"/>
      <c r="H472" s="1457"/>
      <c r="I472" s="1457"/>
      <c r="J472" s="1457"/>
      <c r="K472" s="1457"/>
      <c r="L472" s="1457"/>
      <c r="M472" s="1457"/>
      <c r="N472" s="1457"/>
      <c r="O472" s="1457"/>
      <c r="P472" s="1457"/>
      <c r="Q472" s="1457"/>
      <c r="R472" s="1457"/>
      <c r="S472" s="1457"/>
      <c r="T472" s="1457"/>
      <c r="U472" s="1457"/>
      <c r="V472" s="1458"/>
      <c r="W472" s="1444"/>
      <c r="X472" s="1445"/>
      <c r="Y472" s="144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1762</v>
      </c>
      <c r="E473" s="1427"/>
      <c r="F473" s="1427"/>
      <c r="G473" s="1427"/>
      <c r="H473" s="1427"/>
      <c r="I473" s="1427"/>
      <c r="J473" s="1427"/>
      <c r="K473" s="1427"/>
      <c r="L473" s="1427"/>
      <c r="M473" s="1427"/>
      <c r="N473" s="1427"/>
      <c r="O473" s="1427"/>
      <c r="P473" s="1427"/>
      <c r="Q473" s="1427"/>
      <c r="R473" s="1427"/>
      <c r="S473" s="1427"/>
      <c r="T473" s="1427"/>
      <c r="U473" s="1427"/>
      <c r="V473" s="1428"/>
      <c r="W473" s="1444">
        <v>23</v>
      </c>
      <c r="X473" s="1445"/>
      <c r="Y473" s="144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3" t="s">
        <v>2714</v>
      </c>
      <c r="H474" s="1534"/>
      <c r="I474" s="1534"/>
      <c r="J474" s="1534"/>
      <c r="K474" s="1534"/>
      <c r="L474" s="1534"/>
      <c r="M474" s="1534"/>
      <c r="N474" s="1534"/>
      <c r="O474" s="1534"/>
      <c r="P474" s="1534"/>
      <c r="Q474" s="1534"/>
      <c r="R474" s="1534"/>
      <c r="S474" s="1534"/>
      <c r="T474" s="1534"/>
      <c r="U474" s="1534"/>
      <c r="V474" s="1535"/>
      <c r="W474" s="1444">
        <v>15</v>
      </c>
      <c r="X474" s="1445"/>
      <c r="Y474" s="144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7" t="s">
        <v>817</v>
      </c>
      <c r="B480" s="1547"/>
      <c r="C480" s="1547"/>
      <c r="D480" s="1547"/>
      <c r="E480" s="1547"/>
      <c r="F480" s="1547"/>
      <c r="G480" s="1547"/>
      <c r="H480" s="1547"/>
      <c r="I480" s="1547"/>
      <c r="J480" s="1547"/>
      <c r="K480" s="1547"/>
      <c r="L480" s="1547"/>
      <c r="M480" s="1547"/>
      <c r="N480" s="1547"/>
      <c r="O480" s="1547"/>
      <c r="P480" s="1547"/>
      <c r="Q480" s="1547"/>
      <c r="R480" s="1547"/>
      <c r="S480" s="1547"/>
      <c r="T480" s="1547"/>
      <c r="U480" s="1547"/>
      <c r="V480" s="1547"/>
      <c r="W480" s="1547"/>
      <c r="X480" s="1547"/>
      <c r="Y480" s="1547"/>
      <c r="Z480" s="1547"/>
      <c r="AA480" s="1547"/>
      <c r="AB480" s="1547"/>
      <c r="AC480" s="1547"/>
      <c r="AD480" s="1547"/>
      <c r="AE480" s="1547"/>
      <c r="AF480" s="1547"/>
      <c r="AG480" s="1547"/>
      <c r="AH480" s="1547"/>
      <c r="AI480" s="1547"/>
      <c r="AJ480" s="1547"/>
      <c r="AK480" s="1547"/>
      <c r="AL480" s="1547"/>
      <c r="AM480" s="1547"/>
      <c r="AN480" s="1547"/>
      <c r="AO480" s="1547"/>
      <c r="AP480" s="1547"/>
      <c r="AQ480" s="1547"/>
      <c r="AR480" s="1547"/>
      <c r="AS480" s="1547"/>
      <c r="AT480" s="154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7"/>
      <c r="B481" s="1547"/>
      <c r="C481" s="1547"/>
      <c r="D481" s="1547"/>
      <c r="E481" s="1547"/>
      <c r="F481" s="1547"/>
      <c r="G481" s="1547"/>
      <c r="H481" s="1547"/>
      <c r="I481" s="1547"/>
      <c r="J481" s="1547"/>
      <c r="K481" s="1547"/>
      <c r="L481" s="1547"/>
      <c r="M481" s="1547"/>
      <c r="N481" s="1547"/>
      <c r="O481" s="1547"/>
      <c r="P481" s="1547"/>
      <c r="Q481" s="1547"/>
      <c r="R481" s="1547"/>
      <c r="S481" s="1547"/>
      <c r="T481" s="1547"/>
      <c r="U481" s="1547"/>
      <c r="V481" s="1547"/>
      <c r="W481" s="1547"/>
      <c r="X481" s="1547"/>
      <c r="Y481" s="1547"/>
      <c r="Z481" s="1547"/>
      <c r="AA481" s="1547"/>
      <c r="AB481" s="1547"/>
      <c r="AC481" s="1547"/>
      <c r="AD481" s="1547"/>
      <c r="AE481" s="1547"/>
      <c r="AF481" s="1547"/>
      <c r="AG481" s="1547"/>
      <c r="AH481" s="1547"/>
      <c r="AI481" s="1547"/>
      <c r="AJ481" s="1547"/>
      <c r="AK481" s="1547"/>
      <c r="AL481" s="1547"/>
      <c r="AM481" s="1547"/>
      <c r="AN481" s="1547"/>
      <c r="AO481" s="1547"/>
      <c r="AP481" s="1547"/>
      <c r="AQ481" s="1547"/>
      <c r="AR481" s="1547"/>
      <c r="AS481" s="1547"/>
      <c r="AT481" s="154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4" t="s">
        <v>393</v>
      </c>
      <c r="R485" s="1455"/>
      <c r="S485" s="1455"/>
      <c r="T485" s="1455"/>
      <c r="U485" s="1455"/>
      <c r="V485" s="1455"/>
      <c r="W485" s="1455"/>
      <c r="X485" s="1455"/>
      <c r="Y485" s="1455"/>
      <c r="Z485" s="1455"/>
      <c r="AA485" s="1455"/>
      <c r="AB485" s="1455"/>
      <c r="AC485" s="1455"/>
      <c r="AD485" s="1455"/>
      <c r="AE485" s="1455"/>
      <c r="AF485" s="1455"/>
      <c r="AG485" s="1455"/>
      <c r="AH485" s="1455"/>
      <c r="AI485" s="1455"/>
      <c r="AJ485" s="1455"/>
      <c r="AK485" s="145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7" t="s">
        <v>2765</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8"/>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7" t="s">
        <v>2766</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8"/>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7" t="s">
        <v>2766</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0" t="s">
        <v>397</v>
      </c>
      <c r="C489" s="1471"/>
      <c r="D489" s="1471"/>
      <c r="E489" s="1471"/>
      <c r="F489" s="1471"/>
      <c r="G489" s="1471"/>
      <c r="H489" s="1471"/>
      <c r="I489" s="1471"/>
      <c r="J489" s="1471"/>
      <c r="K489" s="1471"/>
      <c r="L489" s="1471"/>
      <c r="M489" s="1471"/>
      <c r="N489" s="1471"/>
      <c r="O489" s="1471"/>
      <c r="P489" s="1472"/>
      <c r="Q489" s="1476" t="s">
        <v>552</v>
      </c>
      <c r="R489" s="1477"/>
      <c r="S489" s="1504" t="s">
        <v>2790</v>
      </c>
      <c r="T489" s="1505"/>
      <c r="U489" s="1505"/>
      <c r="V489" s="1505"/>
      <c r="W489" s="1505"/>
      <c r="X489" s="1505"/>
      <c r="Y489" s="1505"/>
      <c r="Z489" s="1505"/>
      <c r="AA489" s="1505"/>
      <c r="AB489" s="1505"/>
      <c r="AC489" s="1505"/>
      <c r="AD489" s="1505"/>
      <c r="AE489" s="1505"/>
      <c r="AF489" s="1505"/>
      <c r="AG489" s="1505"/>
      <c r="AH489" s="1505"/>
      <c r="AI489" s="1505"/>
      <c r="AJ489" s="1505"/>
      <c r="AK489" s="150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3"/>
      <c r="C490" s="1474"/>
      <c r="D490" s="1474"/>
      <c r="E490" s="1474"/>
      <c r="F490" s="1474"/>
      <c r="G490" s="1474"/>
      <c r="H490" s="1474"/>
      <c r="I490" s="1474"/>
      <c r="J490" s="1474"/>
      <c r="K490" s="1474"/>
      <c r="L490" s="1474"/>
      <c r="M490" s="1474"/>
      <c r="N490" s="1474"/>
      <c r="O490" s="1474"/>
      <c r="P490" s="1475"/>
      <c r="Q490" s="1478"/>
      <c r="R490" s="1479"/>
      <c r="S490" s="1507"/>
      <c r="T490" s="1460"/>
      <c r="U490" s="1460"/>
      <c r="V490" s="1460"/>
      <c r="W490" s="1460"/>
      <c r="X490" s="1460"/>
      <c r="Y490" s="1460"/>
      <c r="Z490" s="1460"/>
      <c r="AA490" s="1460"/>
      <c r="AB490" s="1460"/>
      <c r="AC490" s="1460"/>
      <c r="AD490" s="1460"/>
      <c r="AE490" s="1460"/>
      <c r="AF490" s="1460"/>
      <c r="AG490" s="1460"/>
      <c r="AH490" s="1460"/>
      <c r="AI490" s="1460"/>
      <c r="AJ490" s="1460"/>
      <c r="AK490" s="150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51" t="s">
        <v>675</v>
      </c>
      <c r="R491" s="1452"/>
      <c r="S491" s="1452"/>
      <c r="T491" s="1452"/>
      <c r="U491" s="1452"/>
      <c r="V491" s="1452"/>
      <c r="W491" s="1452"/>
      <c r="X491" s="1452"/>
      <c r="Y491" s="1452"/>
      <c r="Z491" s="1452"/>
      <c r="AA491" s="1452"/>
      <c r="AB491" s="1452"/>
      <c r="AC491" s="1452"/>
      <c r="AD491" s="1452"/>
      <c r="AE491" s="1452"/>
      <c r="AF491" s="1452"/>
      <c r="AG491" s="1452"/>
      <c r="AH491" s="1452"/>
      <c r="AI491" s="1452"/>
      <c r="AJ491" s="1452"/>
      <c r="AK491" s="145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7" t="s">
        <v>2767</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47" t="s">
        <v>2768</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47">
        <v>64</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23">
        <v>64</v>
      </c>
      <c r="N495" s="1424"/>
      <c r="O495" s="1424"/>
      <c r="P495" s="1425"/>
      <c r="Q495" s="121" t="s">
        <v>1779</v>
      </c>
      <c r="R495" s="5"/>
      <c r="S495" s="5"/>
      <c r="T495" s="5"/>
      <c r="U495" s="5"/>
      <c r="V495" s="5"/>
      <c r="W495" s="5"/>
      <c r="X495" s="5"/>
      <c r="Y495" s="5"/>
      <c r="Z495" s="5"/>
      <c r="AA495" s="5"/>
      <c r="AB495" s="5"/>
      <c r="AC495" s="5"/>
      <c r="AD495" s="5"/>
      <c r="AE495" s="5"/>
      <c r="AF495" s="5"/>
      <c r="AG495" s="5"/>
      <c r="AH495" s="1423">
        <v>0</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4" t="s">
        <v>401</v>
      </c>
      <c r="AD499" s="1455"/>
      <c r="AE499" s="1455"/>
      <c r="AF499" s="1455"/>
      <c r="AG499" s="1455"/>
      <c r="AH499" s="1455"/>
      <c r="AI499" s="1455"/>
      <c r="AJ499" s="1455"/>
      <c r="AK499" s="145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4" t="s">
        <v>402</v>
      </c>
      <c r="AD500" s="1455"/>
      <c r="AE500" s="1455"/>
      <c r="AF500" s="1455"/>
      <c r="AG500" s="50" t="s">
        <v>403</v>
      </c>
      <c r="AH500" s="1455" t="s">
        <v>404</v>
      </c>
      <c r="AI500" s="1455"/>
      <c r="AJ500" s="1455"/>
      <c r="AK500" s="145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405</v>
      </c>
      <c r="C501" s="1409"/>
      <c r="D501" s="1409"/>
      <c r="E501" s="1409"/>
      <c r="F501" s="1409"/>
      <c r="G501" s="1409"/>
      <c r="H501" s="1410"/>
      <c r="I501" s="42" t="s">
        <v>406</v>
      </c>
      <c r="J501" s="42"/>
      <c r="K501" s="42"/>
      <c r="L501" s="42"/>
      <c r="M501" s="42"/>
      <c r="N501" s="42"/>
      <c r="O501" s="42"/>
      <c r="P501" s="42"/>
      <c r="Q501" s="42"/>
      <c r="R501" s="42"/>
      <c r="S501" s="42"/>
      <c r="T501" s="42"/>
      <c r="U501" s="42"/>
      <c r="V501" s="42"/>
      <c r="W501" s="42"/>
      <c r="AC501" s="1416" t="s">
        <v>598</v>
      </c>
      <c r="AD501" s="1417"/>
      <c r="AE501" s="1417"/>
      <c r="AF501" s="1417"/>
      <c r="AG501" s="13" t="s">
        <v>403</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407</v>
      </c>
      <c r="J502" s="48"/>
      <c r="K502" s="48"/>
      <c r="L502" s="48"/>
      <c r="M502" s="48"/>
      <c r="N502" s="48"/>
      <c r="O502" s="48"/>
      <c r="P502" s="48"/>
      <c r="Q502" s="48"/>
      <c r="R502" s="48"/>
      <c r="S502" s="48"/>
      <c r="T502" s="48"/>
      <c r="U502" s="48"/>
      <c r="V502" s="48"/>
      <c r="W502" s="48"/>
      <c r="X502" s="48"/>
      <c r="Y502" s="48"/>
      <c r="Z502" s="48"/>
      <c r="AA502" s="48"/>
      <c r="AB502" s="48"/>
      <c r="AC502" s="1416" t="s">
        <v>598</v>
      </c>
      <c r="AD502" s="1417"/>
      <c r="AE502" s="1417"/>
      <c r="AF502" s="1417"/>
      <c r="AG502" s="38" t="s">
        <v>403</v>
      </c>
      <c r="AH502" s="1421"/>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408</v>
      </c>
      <c r="C503" s="1409"/>
      <c r="D503" s="1409"/>
      <c r="E503" s="1409"/>
      <c r="F503" s="1409"/>
      <c r="G503" s="1409"/>
      <c r="H503" s="1410"/>
      <c r="I503" s="42" t="s">
        <v>409</v>
      </c>
      <c r="J503" s="42"/>
      <c r="K503" s="42"/>
      <c r="L503" s="42"/>
      <c r="M503" s="42"/>
      <c r="N503" s="42"/>
      <c r="O503" s="42"/>
      <c r="P503" s="42"/>
      <c r="Q503" s="42"/>
      <c r="R503" s="42"/>
      <c r="S503" s="42"/>
      <c r="T503" s="42"/>
      <c r="U503" s="42"/>
      <c r="V503" s="42"/>
      <c r="W503" s="42"/>
      <c r="AC503" s="1416" t="s">
        <v>598</v>
      </c>
      <c r="AD503" s="1417"/>
      <c r="AE503" s="1417"/>
      <c r="AF503" s="141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410</v>
      </c>
      <c r="AC504" s="1416" t="s">
        <v>598</v>
      </c>
      <c r="AD504" s="1417"/>
      <c r="AE504" s="1417"/>
      <c r="AF504" s="1417"/>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411</v>
      </c>
      <c r="AC505" s="1416">
        <v>4</v>
      </c>
      <c r="AD505" s="1417"/>
      <c r="AE505" s="1417"/>
      <c r="AF505" s="1417"/>
      <c r="AG505" s="13" t="s">
        <v>403</v>
      </c>
      <c r="AH505" s="1421">
        <v>2024</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412</v>
      </c>
      <c r="AC506" s="1416">
        <v>6</v>
      </c>
      <c r="AD506" s="1417"/>
      <c r="AE506" s="1417"/>
      <c r="AF506" s="141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413</v>
      </c>
      <c r="AC507" s="1357">
        <v>6</v>
      </c>
      <c r="AD507" s="1358"/>
      <c r="AE507" s="1358"/>
      <c r="AF507" s="1358"/>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169</v>
      </c>
      <c r="J508" s="48"/>
      <c r="K508" s="48"/>
      <c r="L508" s="1414" t="s">
        <v>334</v>
      </c>
      <c r="M508" s="1415"/>
      <c r="N508" s="1415"/>
      <c r="O508" s="1415"/>
      <c r="P508" s="1415"/>
      <c r="Q508" s="1415"/>
      <c r="R508" s="1415"/>
      <c r="S508" s="1415"/>
      <c r="T508" s="1415"/>
      <c r="U508" s="1415"/>
      <c r="V508" s="1415"/>
      <c r="W508" s="1415"/>
      <c r="X508" s="1415"/>
      <c r="Y508" s="1415"/>
      <c r="Z508" s="1415"/>
      <c r="AA508" s="1415"/>
      <c r="AB508" s="1489"/>
      <c r="AC508" s="1416" t="s">
        <v>598</v>
      </c>
      <c r="AD508" s="1417"/>
      <c r="AE508" s="1417"/>
      <c r="AF508" s="1417"/>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29" t="s">
        <v>675</v>
      </c>
      <c r="AD509" s="1429"/>
      <c r="AE509" s="1429"/>
      <c r="AF509" s="1429"/>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7"/>
      <c r="AD510" s="1358"/>
      <c r="AE510" s="1358"/>
      <c r="AF510" s="1359"/>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4">
        <v>0.3</v>
      </c>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2" t="s">
        <v>402</v>
      </c>
      <c r="AD513" s="1480"/>
      <c r="AE513" s="1480"/>
      <c r="AF513" s="1480"/>
      <c r="AG513" s="38" t="s">
        <v>403</v>
      </c>
      <c r="AH513" s="1480" t="s">
        <v>404</v>
      </c>
      <c r="AI513" s="1480"/>
      <c r="AJ513" s="1480"/>
      <c r="AK513" s="1481"/>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414</v>
      </c>
      <c r="C514" s="1409"/>
      <c r="D514" s="1409"/>
      <c r="E514" s="1409"/>
      <c r="F514" s="1409"/>
      <c r="G514" s="1409"/>
      <c r="H514" s="1410"/>
      <c r="I514" s="42" t="s">
        <v>415</v>
      </c>
      <c r="J514" s="42"/>
      <c r="K514" s="42"/>
      <c r="L514" s="42"/>
      <c r="M514" s="42"/>
      <c r="N514" s="42"/>
      <c r="O514" s="42"/>
      <c r="P514" s="42"/>
      <c r="Q514" s="42"/>
      <c r="R514" s="42"/>
      <c r="S514" s="42"/>
      <c r="T514" s="42"/>
      <c r="U514" s="42"/>
      <c r="V514" s="42"/>
      <c r="W514" s="42"/>
      <c r="AC514" s="1416">
        <v>7</v>
      </c>
      <c r="AD514" s="1417"/>
      <c r="AE514" s="1417"/>
      <c r="AF514" s="141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416</v>
      </c>
      <c r="AC515" s="1416">
        <v>8</v>
      </c>
      <c r="AD515" s="1417"/>
      <c r="AE515" s="1417"/>
      <c r="AF515" s="141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417</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418</v>
      </c>
      <c r="C517" s="1409"/>
      <c r="D517" s="1409"/>
      <c r="E517" s="1409"/>
      <c r="F517" s="1409"/>
      <c r="G517" s="1409"/>
      <c r="H517" s="1410"/>
      <c r="I517" s="42" t="s">
        <v>415</v>
      </c>
      <c r="J517" s="42"/>
      <c r="K517" s="42"/>
      <c r="L517" s="42"/>
      <c r="M517" s="42"/>
      <c r="N517" s="42"/>
      <c r="O517" s="42"/>
      <c r="P517" s="42"/>
      <c r="Q517" s="42"/>
      <c r="R517" s="42"/>
      <c r="S517" s="42"/>
      <c r="T517" s="42"/>
      <c r="U517" s="42"/>
      <c r="V517" s="42"/>
      <c r="W517" s="42"/>
      <c r="X517" s="42"/>
      <c r="Y517" s="42"/>
      <c r="Z517" s="42"/>
      <c r="AA517" s="42"/>
      <c r="AB517" s="42"/>
      <c r="AC517" s="1357">
        <v>7</v>
      </c>
      <c r="AD517" s="1358"/>
      <c r="AE517" s="1358"/>
      <c r="AF517" s="1358"/>
      <c r="AG517" s="129" t="s">
        <v>403</v>
      </c>
      <c r="AH517" s="1421">
        <v>2024</v>
      </c>
      <c r="AI517" s="1421"/>
      <c r="AJ517" s="1421"/>
      <c r="AK517" s="1422"/>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416</v>
      </c>
      <c r="AC518" s="1416">
        <v>8</v>
      </c>
      <c r="AD518" s="1417"/>
      <c r="AE518" s="1417"/>
      <c r="AF518" s="1417"/>
      <c r="AG518" s="13" t="s">
        <v>403</v>
      </c>
      <c r="AH518" s="1421">
        <v>2024</v>
      </c>
      <c r="AI518" s="1421"/>
      <c r="AJ518" s="1421"/>
      <c r="AK518" s="1422"/>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1"/>
      <c r="C519" s="1442"/>
      <c r="D519" s="1442"/>
      <c r="E519" s="1442"/>
      <c r="F519" s="1442"/>
      <c r="G519" s="1442"/>
      <c r="H519" s="1443"/>
      <c r="I519" s="48" t="s">
        <v>417</v>
      </c>
      <c r="J519" s="48"/>
      <c r="K519" s="48"/>
      <c r="L519" s="48"/>
      <c r="M519" s="48"/>
      <c r="N519" s="48"/>
      <c r="O519" s="48"/>
      <c r="P519" s="48"/>
      <c r="Q519" s="48"/>
      <c r="R519" s="48"/>
      <c r="S519" s="48"/>
      <c r="T519" s="48"/>
      <c r="U519" s="48"/>
      <c r="V519" s="48"/>
      <c r="W519" s="48"/>
      <c r="X519" s="48"/>
      <c r="Y519" s="48"/>
      <c r="Z519" s="48"/>
      <c r="AA519" s="48"/>
      <c r="AB519" s="48"/>
      <c r="AC519" s="1416">
        <v>6</v>
      </c>
      <c r="AD519" s="1417"/>
      <c r="AE519" s="1417"/>
      <c r="AF519" s="1417"/>
      <c r="AG519" s="38" t="s">
        <v>403</v>
      </c>
      <c r="AH519" s="1421">
        <v>2028</v>
      </c>
      <c r="AI519" s="1421"/>
      <c r="AJ519" s="1421"/>
      <c r="AK519" s="1422"/>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419</v>
      </c>
      <c r="C520" s="1409"/>
      <c r="D520" s="1409"/>
      <c r="E520" s="1409"/>
      <c r="F520" s="1409"/>
      <c r="G520" s="1409"/>
      <c r="H520" s="1410"/>
      <c r="I520" s="41" t="s">
        <v>420</v>
      </c>
      <c r="J520" s="42"/>
      <c r="K520" s="42"/>
      <c r="L520" s="42"/>
      <c r="M520" s="42"/>
      <c r="N520" s="42"/>
      <c r="O520" s="1414" t="s">
        <v>2740</v>
      </c>
      <c r="P520" s="1415"/>
      <c r="Q520" s="1415"/>
      <c r="R520" s="1415"/>
      <c r="S520" s="1415"/>
      <c r="T520" s="1415"/>
      <c r="U520" s="1415"/>
      <c r="V520" s="1415"/>
      <c r="W520" s="1415"/>
      <c r="X520" s="1415"/>
      <c r="Y520" s="1415"/>
      <c r="Z520" s="1415"/>
      <c r="AA520" s="1415"/>
      <c r="AB520" s="58"/>
      <c r="AC520" s="1357"/>
      <c r="AD520" s="1358"/>
      <c r="AE520" s="1358"/>
      <c r="AF520" s="1358"/>
      <c r="AG520" s="129" t="s">
        <v>403</v>
      </c>
      <c r="AH520" s="1421"/>
      <c r="AI520" s="1421"/>
      <c r="AJ520" s="1421"/>
      <c r="AK520" s="1422"/>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421</v>
      </c>
      <c r="AB521" s="65"/>
      <c r="AC521" s="1416">
        <v>3</v>
      </c>
      <c r="AD521" s="1417"/>
      <c r="AE521" s="1417"/>
      <c r="AF521" s="1417"/>
      <c r="AG521" s="13" t="s">
        <v>403</v>
      </c>
      <c r="AH521" s="1421">
        <v>2023</v>
      </c>
      <c r="AI521" s="1421"/>
      <c r="AJ521" s="1421"/>
      <c r="AK521" s="1422"/>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422</v>
      </c>
      <c r="J522" s="48"/>
      <c r="K522" s="48"/>
      <c r="L522" s="48"/>
      <c r="M522" s="48"/>
      <c r="N522" s="48"/>
      <c r="O522" s="48"/>
      <c r="P522" s="48"/>
      <c r="Q522" s="48"/>
      <c r="R522" s="48"/>
      <c r="S522" s="48"/>
      <c r="T522" s="48"/>
      <c r="U522" s="48"/>
      <c r="V522" s="48"/>
      <c r="W522" s="48"/>
      <c r="X522" s="48"/>
      <c r="Y522" s="48"/>
      <c r="Z522" s="48"/>
      <c r="AA522" s="48"/>
      <c r="AB522" s="49"/>
      <c r="AC522" s="1416">
        <v>6</v>
      </c>
      <c r="AD522" s="1417"/>
      <c r="AE522" s="1417"/>
      <c r="AF522" s="1417"/>
      <c r="AG522" s="38" t="s">
        <v>403</v>
      </c>
      <c r="AH522" s="1421">
        <v>2028</v>
      </c>
      <c r="AI522" s="1421"/>
      <c r="AJ522" s="1421"/>
      <c r="AK522" s="1422"/>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423</v>
      </c>
      <c r="J523" s="42"/>
      <c r="K523" s="42"/>
      <c r="L523" s="42"/>
      <c r="M523" s="42"/>
      <c r="N523" s="42"/>
      <c r="O523" s="1414" t="s">
        <v>2769</v>
      </c>
      <c r="P523" s="1415"/>
      <c r="Q523" s="1415"/>
      <c r="R523" s="1415"/>
      <c r="S523" s="1415"/>
      <c r="T523" s="1415"/>
      <c r="U523" s="1415"/>
      <c r="V523" s="1415"/>
      <c r="W523" s="1415"/>
      <c r="X523" s="1415"/>
      <c r="Y523" s="1415"/>
      <c r="Z523" s="1415"/>
      <c r="AA523" s="1415"/>
      <c r="AC523" s="1416"/>
      <c r="AD523" s="1417"/>
      <c r="AE523" s="1417"/>
      <c r="AF523" s="1417"/>
      <c r="AG523" s="13" t="s">
        <v>403</v>
      </c>
      <c r="AH523" s="1421"/>
      <c r="AI523" s="1421"/>
      <c r="AJ523" s="1421"/>
      <c r="AK523" s="1422"/>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421</v>
      </c>
      <c r="AC524" s="1416">
        <v>6</v>
      </c>
      <c r="AD524" s="1417"/>
      <c r="AE524" s="1417"/>
      <c r="AF524" s="1417"/>
      <c r="AG524" s="13" t="s">
        <v>403</v>
      </c>
      <c r="AH524" s="1421">
        <v>2022</v>
      </c>
      <c r="AI524" s="1421"/>
      <c r="AJ524" s="1421"/>
      <c r="AK524" s="1422"/>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422</v>
      </c>
      <c r="J525" s="48"/>
      <c r="K525" s="48"/>
      <c r="L525" s="48"/>
      <c r="M525" s="48"/>
      <c r="N525" s="48"/>
      <c r="O525" s="48"/>
      <c r="P525" s="48"/>
      <c r="Q525" s="48"/>
      <c r="R525" s="48"/>
      <c r="S525" s="48"/>
      <c r="T525" s="48"/>
      <c r="U525" s="48"/>
      <c r="V525" s="48"/>
      <c r="W525" s="48"/>
      <c r="X525" s="48"/>
      <c r="Y525" s="48"/>
      <c r="Z525" s="48"/>
      <c r="AA525" s="48"/>
      <c r="AB525" s="48"/>
      <c r="AC525" s="1416">
        <v>6</v>
      </c>
      <c r="AD525" s="1417"/>
      <c r="AE525" s="1417"/>
      <c r="AF525" s="1417"/>
      <c r="AG525" s="38" t="s">
        <v>403</v>
      </c>
      <c r="AH525" s="1421">
        <v>2025</v>
      </c>
      <c r="AI525" s="1421"/>
      <c r="AJ525" s="1421"/>
      <c r="AK525" s="1422"/>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423</v>
      </c>
      <c r="J526" s="42"/>
      <c r="K526" s="42"/>
      <c r="L526" s="42"/>
      <c r="M526" s="42"/>
      <c r="N526" s="42"/>
      <c r="O526" s="1414" t="s">
        <v>2770</v>
      </c>
      <c r="P526" s="1415"/>
      <c r="Q526" s="1415"/>
      <c r="R526" s="1415"/>
      <c r="S526" s="1415"/>
      <c r="T526" s="1415"/>
      <c r="U526" s="1415"/>
      <c r="V526" s="1415"/>
      <c r="W526" s="1415"/>
      <c r="X526" s="1415"/>
      <c r="Y526" s="1415"/>
      <c r="Z526" s="1415"/>
      <c r="AA526" s="1415"/>
      <c r="AC526" s="1416"/>
      <c r="AD526" s="1417"/>
      <c r="AE526" s="1417"/>
      <c r="AF526" s="1417"/>
      <c r="AG526" s="13" t="s">
        <v>403</v>
      </c>
      <c r="AH526" s="1421"/>
      <c r="AI526" s="1421"/>
      <c r="AJ526" s="1421"/>
      <c r="AK526" s="1422"/>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421</v>
      </c>
      <c r="AC527" s="1416">
        <v>11</v>
      </c>
      <c r="AD527" s="1417"/>
      <c r="AE527" s="1417"/>
      <c r="AF527" s="1417"/>
      <c r="AG527" s="13" t="s">
        <v>403</v>
      </c>
      <c r="AH527" s="1421">
        <v>2023</v>
      </c>
      <c r="AI527" s="1421"/>
      <c r="AJ527" s="1421"/>
      <c r="AK527" s="1422"/>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422</v>
      </c>
      <c r="J528" s="48"/>
      <c r="K528" s="48"/>
      <c r="L528" s="48"/>
      <c r="M528" s="48"/>
      <c r="N528" s="48"/>
      <c r="O528" s="48"/>
      <c r="P528" s="48"/>
      <c r="Q528" s="48"/>
      <c r="R528" s="48"/>
      <c r="S528" s="48"/>
      <c r="T528" s="48"/>
      <c r="U528" s="48"/>
      <c r="V528" s="48"/>
      <c r="W528" s="48"/>
      <c r="X528" s="48"/>
      <c r="Y528" s="48"/>
      <c r="Z528" s="48"/>
      <c r="AA528" s="48"/>
      <c r="AB528" s="48"/>
      <c r="AC528" s="1416">
        <v>6</v>
      </c>
      <c r="AD528" s="1417"/>
      <c r="AE528" s="1417"/>
      <c r="AF528" s="1417"/>
      <c r="AG528" s="38" t="s">
        <v>403</v>
      </c>
      <c r="AH528" s="1421">
        <v>2028</v>
      </c>
      <c r="AI528" s="1421"/>
      <c r="AJ528" s="1421"/>
      <c r="AK528" s="1422"/>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423</v>
      </c>
      <c r="J529" s="42"/>
      <c r="K529" s="42"/>
      <c r="L529" s="42"/>
      <c r="M529" s="42"/>
      <c r="N529" s="42"/>
      <c r="O529" s="1414" t="s">
        <v>334</v>
      </c>
      <c r="P529" s="1415"/>
      <c r="Q529" s="1415"/>
      <c r="R529" s="1415"/>
      <c r="S529" s="1415"/>
      <c r="T529" s="1415"/>
      <c r="U529" s="1415"/>
      <c r="V529" s="1415"/>
      <c r="W529" s="1415"/>
      <c r="X529" s="1415"/>
      <c r="Y529" s="1415"/>
      <c r="Z529" s="1415"/>
      <c r="AA529" s="1415"/>
      <c r="AC529" s="1416" t="s">
        <v>598</v>
      </c>
      <c r="AD529" s="1417"/>
      <c r="AE529" s="1417"/>
      <c r="AF529" s="1417"/>
      <c r="AG529" s="13" t="s">
        <v>403</v>
      </c>
      <c r="AH529" s="1421"/>
      <c r="AI529" s="1421"/>
      <c r="AJ529" s="1421"/>
      <c r="AK529" s="1422"/>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421</v>
      </c>
      <c r="AC530" s="1416" t="s">
        <v>598</v>
      </c>
      <c r="AD530" s="1417"/>
      <c r="AE530" s="1417"/>
      <c r="AF530" s="1417"/>
      <c r="AG530" s="13" t="s">
        <v>403</v>
      </c>
      <c r="AH530" s="1421"/>
      <c r="AI530" s="1421"/>
      <c r="AJ530" s="1421"/>
      <c r="AK530" s="1422"/>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422</v>
      </c>
      <c r="J531" s="48"/>
      <c r="K531" s="48"/>
      <c r="L531" s="48"/>
      <c r="M531" s="48"/>
      <c r="N531" s="48"/>
      <c r="O531" s="48"/>
      <c r="P531" s="48"/>
      <c r="Q531" s="48"/>
      <c r="R531" s="48"/>
      <c r="S531" s="48"/>
      <c r="T531" s="48"/>
      <c r="U531" s="48"/>
      <c r="V531" s="48"/>
      <c r="W531" s="48"/>
      <c r="X531" s="48"/>
      <c r="Y531" s="48"/>
      <c r="Z531" s="48"/>
      <c r="AA531" s="48"/>
      <c r="AB531" s="48"/>
      <c r="AC531" s="1416" t="s">
        <v>598</v>
      </c>
      <c r="AD531" s="1417"/>
      <c r="AE531" s="1417"/>
      <c r="AF531" s="1417"/>
      <c r="AG531" s="38" t="s">
        <v>403</v>
      </c>
      <c r="AH531" s="1421"/>
      <c r="AI531" s="1421"/>
      <c r="AJ531" s="1421"/>
      <c r="AK531" s="1422"/>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423</v>
      </c>
      <c r="J532" s="42"/>
      <c r="K532" s="42"/>
      <c r="L532" s="42"/>
      <c r="M532" s="42"/>
      <c r="N532" s="42"/>
      <c r="O532" s="1414" t="s">
        <v>334</v>
      </c>
      <c r="P532" s="1415"/>
      <c r="Q532" s="1415"/>
      <c r="R532" s="1415"/>
      <c r="S532" s="1415"/>
      <c r="T532" s="1415"/>
      <c r="U532" s="1415"/>
      <c r="V532" s="1415"/>
      <c r="W532" s="1415"/>
      <c r="X532" s="1415"/>
      <c r="Y532" s="1415"/>
      <c r="Z532" s="1415"/>
      <c r="AA532" s="1415"/>
      <c r="AC532" s="1416" t="s">
        <v>598</v>
      </c>
      <c r="AD532" s="1417"/>
      <c r="AE532" s="1417"/>
      <c r="AF532" s="1417"/>
      <c r="AG532" s="13" t="s">
        <v>403</v>
      </c>
      <c r="AH532" s="1421"/>
      <c r="AI532" s="1421"/>
      <c r="AJ532" s="1421"/>
      <c r="AK532" s="1422"/>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421</v>
      </c>
      <c r="AC533" s="1416" t="s">
        <v>598</v>
      </c>
      <c r="AD533" s="1417"/>
      <c r="AE533" s="1417"/>
      <c r="AF533" s="1417"/>
      <c r="AG533" s="38" t="s">
        <v>403</v>
      </c>
      <c r="AH533" s="1421"/>
      <c r="AI533" s="1421"/>
      <c r="AJ533" s="1421"/>
      <c r="AK533" s="1422"/>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422</v>
      </c>
      <c r="J534" s="48"/>
      <c r="K534" s="48"/>
      <c r="L534" s="48"/>
      <c r="M534" s="48"/>
      <c r="N534" s="48"/>
      <c r="O534" s="48"/>
      <c r="P534" s="48"/>
      <c r="Q534" s="48"/>
      <c r="R534" s="48"/>
      <c r="S534" s="48"/>
      <c r="T534" s="48"/>
      <c r="U534" s="48"/>
      <c r="V534" s="48"/>
      <c r="W534" s="48"/>
      <c r="X534" s="48"/>
      <c r="Y534" s="48"/>
      <c r="Z534" s="48"/>
      <c r="AA534" s="48"/>
      <c r="AB534" s="48"/>
      <c r="AC534" s="1416" t="s">
        <v>598</v>
      </c>
      <c r="AD534" s="1417"/>
      <c r="AE534" s="1417"/>
      <c r="AF534" s="1417"/>
      <c r="AG534" s="13" t="s">
        <v>403</v>
      </c>
      <c r="AH534" s="1421"/>
      <c r="AI534" s="1421"/>
      <c r="AJ534" s="1421"/>
      <c r="AK534" s="1422"/>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423</v>
      </c>
      <c r="J535" s="42"/>
      <c r="K535" s="42"/>
      <c r="L535" s="42"/>
      <c r="M535" s="42"/>
      <c r="N535" s="42"/>
      <c r="O535" s="1414" t="s">
        <v>334</v>
      </c>
      <c r="P535" s="1415"/>
      <c r="Q535" s="1415"/>
      <c r="R535" s="1415"/>
      <c r="S535" s="1415"/>
      <c r="T535" s="1415"/>
      <c r="U535" s="1415"/>
      <c r="V535" s="1415"/>
      <c r="W535" s="1415"/>
      <c r="X535" s="1415"/>
      <c r="Y535" s="1415"/>
      <c r="Z535" s="1415"/>
      <c r="AA535" s="1415"/>
      <c r="AC535" s="1416" t="s">
        <v>598</v>
      </c>
      <c r="AD535" s="1417"/>
      <c r="AE535" s="1417"/>
      <c r="AF535" s="1417"/>
      <c r="AG535" s="38" t="s">
        <v>403</v>
      </c>
      <c r="AH535" s="1421"/>
      <c r="AI535" s="1421"/>
      <c r="AJ535" s="1421"/>
      <c r="AK535" s="1422"/>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421</v>
      </c>
      <c r="AC536" s="1416" t="s">
        <v>598</v>
      </c>
      <c r="AD536" s="1417"/>
      <c r="AE536" s="1417"/>
      <c r="AF536" s="1417"/>
      <c r="AG536" s="13" t="s">
        <v>403</v>
      </c>
      <c r="AH536" s="1421"/>
      <c r="AI536" s="1421"/>
      <c r="AJ536" s="1421"/>
      <c r="AK536" s="1422"/>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422</v>
      </c>
      <c r="J537" s="48"/>
      <c r="K537" s="48"/>
      <c r="L537" s="48"/>
      <c r="M537" s="48"/>
      <c r="N537" s="48"/>
      <c r="O537" s="48"/>
      <c r="P537" s="48"/>
      <c r="Q537" s="48"/>
      <c r="R537" s="48"/>
      <c r="S537" s="48"/>
      <c r="T537" s="48"/>
      <c r="U537" s="48"/>
      <c r="V537" s="48"/>
      <c r="W537" s="48"/>
      <c r="X537" s="48"/>
      <c r="Y537" s="48"/>
      <c r="Z537" s="48"/>
      <c r="AA537" s="48"/>
      <c r="AB537" s="48"/>
      <c r="AC537" s="1416" t="s">
        <v>598</v>
      </c>
      <c r="AD537" s="1417"/>
      <c r="AE537" s="1417"/>
      <c r="AF537" s="1417"/>
      <c r="AG537" s="38" t="s">
        <v>403</v>
      </c>
      <c r="AH537" s="1421"/>
      <c r="AI537" s="1421"/>
      <c r="AJ537" s="1421"/>
      <c r="AK537" s="1422"/>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569</v>
      </c>
      <c r="J538" s="42"/>
      <c r="K538" s="42"/>
      <c r="L538" s="42"/>
      <c r="M538" s="42"/>
      <c r="N538" s="42"/>
      <c r="O538" s="42"/>
      <c r="P538" s="42"/>
      <c r="Q538" s="42"/>
      <c r="R538" s="42"/>
      <c r="S538" s="42"/>
      <c r="T538" s="42"/>
      <c r="U538" s="42"/>
      <c r="V538" s="42"/>
      <c r="W538" s="42"/>
      <c r="AC538" s="1416">
        <v>11</v>
      </c>
      <c r="AD538" s="1417"/>
      <c r="AE538" s="1417"/>
      <c r="AF538" s="141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570</v>
      </c>
      <c r="AC539" s="1416">
        <v>6</v>
      </c>
      <c r="AD539" s="1417"/>
      <c r="AE539" s="1417"/>
      <c r="AF539" s="141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571</v>
      </c>
      <c r="AC540" s="1416">
        <v>6</v>
      </c>
      <c r="AD540" s="1417"/>
      <c r="AE540" s="1417"/>
      <c r="AF540" s="141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572</v>
      </c>
      <c r="AC541" s="1416">
        <v>6</v>
      </c>
      <c r="AD541" s="1417"/>
      <c r="AE541" s="1417"/>
      <c r="AF541" s="141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1"/>
      <c r="C542" s="1442"/>
      <c r="D542" s="1442"/>
      <c r="E542" s="1442"/>
      <c r="F542" s="1442"/>
      <c r="G542" s="1442"/>
      <c r="H542" s="1443"/>
      <c r="I542" s="48" t="s">
        <v>458</v>
      </c>
      <c r="J542" s="48"/>
      <c r="K542" s="48"/>
      <c r="L542" s="48"/>
      <c r="M542" s="48"/>
      <c r="N542" s="48"/>
      <c r="O542" s="48"/>
      <c r="P542" s="48"/>
      <c r="Q542" s="48"/>
      <c r="R542" s="48"/>
      <c r="S542" s="48"/>
      <c r="T542" s="48"/>
      <c r="U542" s="48"/>
      <c r="V542" s="48"/>
      <c r="W542" s="48"/>
      <c r="X542" s="48"/>
      <c r="Y542" s="48"/>
      <c r="Z542" s="48"/>
      <c r="AA542" s="48"/>
      <c r="AB542" s="48"/>
      <c r="AC542" s="1416">
        <v>12</v>
      </c>
      <c r="AD542" s="1417"/>
      <c r="AE542" s="1417"/>
      <c r="AF542" s="1417"/>
      <c r="AG542" s="38" t="s">
        <v>403</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2417</v>
      </c>
      <c r="C551" s="1409"/>
      <c r="D551" s="1409"/>
      <c r="E551" s="1409"/>
      <c r="F551" s="1409"/>
      <c r="G551" s="1409"/>
      <c r="H551" s="1409"/>
      <c r="I551" s="1409"/>
      <c r="J551" s="1409"/>
      <c r="K551" s="1409"/>
      <c r="L551" s="1410"/>
      <c r="M551" s="1408" t="s">
        <v>2418</v>
      </c>
      <c r="N551" s="1409"/>
      <c r="O551" s="1409"/>
      <c r="P551" s="1410"/>
      <c r="Q551" s="1408" t="s">
        <v>2444</v>
      </c>
      <c r="R551" s="1409"/>
      <c r="S551" s="1410"/>
      <c r="T551" s="1408" t="s">
        <v>2445</v>
      </c>
      <c r="U551" s="1409"/>
      <c r="V551" s="1410"/>
      <c r="W551" s="1408" t="s">
        <v>460</v>
      </c>
      <c r="X551" s="1409"/>
      <c r="Y551" s="1410"/>
      <c r="Z551" s="1408" t="s">
        <v>2038</v>
      </c>
      <c r="AA551" s="1409"/>
      <c r="AB551" s="1409"/>
      <c r="AC551" s="1409"/>
      <c r="AD551" s="1410"/>
      <c r="AE551" s="1408" t="s">
        <v>1860</v>
      </c>
      <c r="AF551" s="1409"/>
      <c r="AG551" s="1409"/>
      <c r="AH551" s="1410"/>
      <c r="AI551" s="1408" t="s">
        <v>1861</v>
      </c>
      <c r="AJ551" s="1409"/>
      <c r="AK551" s="1409"/>
      <c r="AL551" s="1410"/>
      <c r="AM551" s="1408" t="s">
        <v>461</v>
      </c>
      <c r="AN551" s="1409"/>
      <c r="AO551" s="1409"/>
      <c r="AP551" s="1409"/>
      <c r="AQ551" s="1409"/>
      <c r="AR551" s="1409"/>
      <c r="AS551" s="1410"/>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1"/>
      <c r="C553" s="1442"/>
      <c r="D553" s="1442"/>
      <c r="E553" s="1442"/>
      <c r="F553" s="1442"/>
      <c r="G553" s="1442"/>
      <c r="H553" s="1442"/>
      <c r="I553" s="1442"/>
      <c r="J553" s="1442"/>
      <c r="K553" s="1442"/>
      <c r="L553" s="1443"/>
      <c r="M553" s="1441"/>
      <c r="N553" s="1442"/>
      <c r="O553" s="1442"/>
      <c r="P553" s="1443"/>
      <c r="Q553" s="1441"/>
      <c r="R553" s="1442"/>
      <c r="S553" s="1443"/>
      <c r="T553" s="1441"/>
      <c r="U553" s="1442"/>
      <c r="V553" s="1443"/>
      <c r="W553" s="1441"/>
      <c r="X553" s="1442"/>
      <c r="Y553" s="1443"/>
      <c r="Z553" s="1441"/>
      <c r="AA553" s="1442"/>
      <c r="AB553" s="1442"/>
      <c r="AC553" s="1442"/>
      <c r="AD553" s="1443"/>
      <c r="AE553" s="1441"/>
      <c r="AF553" s="1442"/>
      <c r="AG553" s="1442"/>
      <c r="AH553" s="1443"/>
      <c r="AI553" s="1441"/>
      <c r="AJ553" s="1442"/>
      <c r="AK553" s="1442"/>
      <c r="AL553" s="1443"/>
      <c r="AM553" s="1441"/>
      <c r="AN553" s="1442"/>
      <c r="AO553" s="1442"/>
      <c r="AP553" s="1442"/>
      <c r="AQ553" s="1442"/>
      <c r="AR553" s="1442"/>
      <c r="AS553" s="144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9" t="s">
        <v>2715</v>
      </c>
      <c r="D554" s="1509"/>
      <c r="E554" s="1509"/>
      <c r="F554" s="1509"/>
      <c r="G554" s="1509"/>
      <c r="H554" s="1509"/>
      <c r="I554" s="1509"/>
      <c r="J554" s="1509"/>
      <c r="K554" s="1509"/>
      <c r="L554" s="1509"/>
      <c r="M554" s="1509" t="s">
        <v>2434</v>
      </c>
      <c r="N554" s="1509"/>
      <c r="O554" s="1509"/>
      <c r="P554" s="1509"/>
      <c r="Q554" s="1491">
        <v>36</v>
      </c>
      <c r="R554" s="1491"/>
      <c r="S554" s="1492"/>
      <c r="T554" s="1490">
        <v>36</v>
      </c>
      <c r="U554" s="1491"/>
      <c r="V554" s="1492"/>
      <c r="W554" s="1482">
        <v>0.06</v>
      </c>
      <c r="X554" s="1483"/>
      <c r="Y554" s="1484"/>
      <c r="Z554" s="1503" t="s">
        <v>2716</v>
      </c>
      <c r="AA554" s="1503"/>
      <c r="AB554" s="1503"/>
      <c r="AC554" s="1503"/>
      <c r="AD554" s="1503"/>
      <c r="AE554" s="1485">
        <v>1</v>
      </c>
      <c r="AF554" s="1486"/>
      <c r="AG554" s="1486"/>
      <c r="AH554" s="1487"/>
      <c r="AI554" s="1499"/>
      <c r="AJ554" s="1500"/>
      <c r="AK554" s="1500"/>
      <c r="AL554" s="1501"/>
      <c r="AM554" s="1399">
        <v>66000000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88" t="s">
        <v>2715</v>
      </c>
      <c r="D555" s="1488"/>
      <c r="E555" s="1488"/>
      <c r="F555" s="1488"/>
      <c r="G555" s="1488"/>
      <c r="H555" s="1488"/>
      <c r="I555" s="1488"/>
      <c r="J555" s="1488"/>
      <c r="K555" s="1488"/>
      <c r="L555" s="1488"/>
      <c r="M555" s="1509" t="s">
        <v>2433</v>
      </c>
      <c r="N555" s="1509"/>
      <c r="O555" s="1509"/>
      <c r="P555" s="1509"/>
      <c r="Q555" s="1490">
        <v>36</v>
      </c>
      <c r="R555" s="1491"/>
      <c r="S555" s="1492"/>
      <c r="T555" s="1490">
        <v>36</v>
      </c>
      <c r="U555" s="1491"/>
      <c r="V555" s="1492"/>
      <c r="W555" s="1482">
        <v>0.06</v>
      </c>
      <c r="X555" s="1483"/>
      <c r="Y555" s="1484"/>
      <c r="Z555" s="1503" t="s">
        <v>2716</v>
      </c>
      <c r="AA555" s="1503"/>
      <c r="AB555" s="1503"/>
      <c r="AC555" s="1503"/>
      <c r="AD555" s="1503"/>
      <c r="AE555" s="1485">
        <v>2</v>
      </c>
      <c r="AF555" s="1486"/>
      <c r="AG555" s="1486"/>
      <c r="AH555" s="1487"/>
      <c r="AI555" s="1499"/>
      <c r="AJ555" s="1500"/>
      <c r="AK555" s="1500"/>
      <c r="AL555" s="1501"/>
      <c r="AM555" s="1399">
        <v>22587412</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88" t="s">
        <v>2769</v>
      </c>
      <c r="D556" s="1488"/>
      <c r="E556" s="1488"/>
      <c r="F556" s="1488"/>
      <c r="G556" s="1488"/>
      <c r="H556" s="1488"/>
      <c r="I556" s="1488"/>
      <c r="J556" s="1488"/>
      <c r="K556" s="1488"/>
      <c r="L556" s="1488"/>
      <c r="M556" s="1509" t="s">
        <v>2430</v>
      </c>
      <c r="N556" s="1509"/>
      <c r="O556" s="1509"/>
      <c r="P556" s="1509"/>
      <c r="Q556" s="1490">
        <v>36</v>
      </c>
      <c r="R556" s="1491"/>
      <c r="S556" s="1492"/>
      <c r="T556" s="1490"/>
      <c r="U556" s="1491"/>
      <c r="V556" s="1492"/>
      <c r="W556" s="1482">
        <v>0.03</v>
      </c>
      <c r="X556" s="1483"/>
      <c r="Y556" s="1484"/>
      <c r="Z556" s="1503" t="s">
        <v>2716</v>
      </c>
      <c r="AA556" s="1503"/>
      <c r="AB556" s="1503"/>
      <c r="AC556" s="1503"/>
      <c r="AD556" s="1503"/>
      <c r="AE556" s="1485">
        <v>3</v>
      </c>
      <c r="AF556" s="1486"/>
      <c r="AG556" s="1486"/>
      <c r="AH556" s="1487"/>
      <c r="AI556" s="1499"/>
      <c r="AJ556" s="1500"/>
      <c r="AK556" s="1500"/>
      <c r="AL556" s="1501"/>
      <c r="AM556" s="1399">
        <v>5000000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88" t="s">
        <v>2660</v>
      </c>
      <c r="D557" s="1488"/>
      <c r="E557" s="1488"/>
      <c r="F557" s="1488"/>
      <c r="G557" s="1488"/>
      <c r="H557" s="1488"/>
      <c r="I557" s="1488"/>
      <c r="J557" s="1488"/>
      <c r="K557" s="1488"/>
      <c r="L557" s="1488"/>
      <c r="M557" s="1509" t="s">
        <v>2421</v>
      </c>
      <c r="N557" s="1509"/>
      <c r="O557" s="1509"/>
      <c r="P557" s="1509"/>
      <c r="Q557" s="1490">
        <v>36</v>
      </c>
      <c r="R557" s="1491"/>
      <c r="S557" s="1492"/>
      <c r="T557" s="1490"/>
      <c r="U557" s="1491"/>
      <c r="V557" s="1492"/>
      <c r="W557" s="1482">
        <v>9.9999999999999995E-8</v>
      </c>
      <c r="X557" s="1483"/>
      <c r="Y557" s="1484"/>
      <c r="Z557" s="1503" t="s">
        <v>2716</v>
      </c>
      <c r="AA557" s="1503"/>
      <c r="AB557" s="1503"/>
      <c r="AC557" s="1503"/>
      <c r="AD557" s="1503"/>
      <c r="AE557" s="1485"/>
      <c r="AF557" s="1486"/>
      <c r="AG557" s="1486"/>
      <c r="AH557" s="1487"/>
      <c r="AI557" s="1499"/>
      <c r="AJ557" s="1500"/>
      <c r="AK557" s="1500"/>
      <c r="AL557" s="1501"/>
      <c r="AM557" s="1399">
        <v>14709768</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88" t="s">
        <v>2791</v>
      </c>
      <c r="D558" s="1488"/>
      <c r="E558" s="1488"/>
      <c r="F558" s="1488"/>
      <c r="G558" s="1488"/>
      <c r="H558" s="1488"/>
      <c r="I558" s="1488"/>
      <c r="J558" s="1488"/>
      <c r="K558" s="1488"/>
      <c r="L558" s="1488"/>
      <c r="M558" s="1509" t="s">
        <v>2420</v>
      </c>
      <c r="N558" s="1509"/>
      <c r="O558" s="1509"/>
      <c r="P558" s="1509"/>
      <c r="Q558" s="1490"/>
      <c r="R558" s="1491"/>
      <c r="S558" s="1492"/>
      <c r="T558" s="1490"/>
      <c r="U558" s="1491"/>
      <c r="V558" s="1492"/>
      <c r="W558" s="1482"/>
      <c r="X558" s="1483"/>
      <c r="Y558" s="1484"/>
      <c r="Z558" s="1503" t="s">
        <v>598</v>
      </c>
      <c r="AA558" s="1503"/>
      <c r="AB558" s="1503"/>
      <c r="AC558" s="1503"/>
      <c r="AD558" s="1503"/>
      <c r="AE558" s="1485"/>
      <c r="AF558" s="1486"/>
      <c r="AG558" s="1486"/>
      <c r="AH558" s="1487"/>
      <c r="AI558" s="1499"/>
      <c r="AJ558" s="1500"/>
      <c r="AK558" s="1500"/>
      <c r="AL558" s="1501"/>
      <c r="AM558" s="1399">
        <v>1142218</v>
      </c>
      <c r="AN558" s="1400"/>
      <c r="AO558" s="1400"/>
      <c r="AP558" s="1400"/>
      <c r="AQ558" s="1400"/>
      <c r="AR558" s="1400"/>
      <c r="AS558" s="1401"/>
      <c r="AT558" s="1192" t="str">
        <f t="shared" ref="AT558:AT565" si="0">IF(AND(NOT(C557=""),C558="",NOT(C559="")),"!","")</f>
        <v/>
      </c>
      <c r="AU558" s="1191"/>
      <c r="BB558" s="3"/>
      <c r="BC558" s="3"/>
      <c r="BD558" s="3"/>
      <c r="BE558" s="3"/>
      <c r="BF558" s="3"/>
      <c r="BG558" s="3"/>
      <c r="BH558" s="3" t="s">
        <v>770</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88" t="s">
        <v>2687</v>
      </c>
      <c r="D559" s="1488"/>
      <c r="E559" s="1488"/>
      <c r="F559" s="1488"/>
      <c r="G559" s="1488"/>
      <c r="H559" s="1488"/>
      <c r="I559" s="1488"/>
      <c r="J559" s="1488"/>
      <c r="K559" s="1488"/>
      <c r="L559" s="1488"/>
      <c r="M559" s="1509" t="s">
        <v>2425</v>
      </c>
      <c r="N559" s="1509"/>
      <c r="O559" s="1509"/>
      <c r="P559" s="1509"/>
      <c r="Q559" s="1490"/>
      <c r="R559" s="1491"/>
      <c r="S559" s="1492"/>
      <c r="T559" s="1490"/>
      <c r="U559" s="1491"/>
      <c r="V559" s="1492"/>
      <c r="W559" s="1482"/>
      <c r="X559" s="1483"/>
      <c r="Y559" s="1484"/>
      <c r="Z559" s="1503" t="s">
        <v>598</v>
      </c>
      <c r="AA559" s="1503"/>
      <c r="AB559" s="1503"/>
      <c r="AC559" s="1503"/>
      <c r="AD559" s="1503"/>
      <c r="AE559" s="1485"/>
      <c r="AF559" s="1486"/>
      <c r="AG559" s="1486"/>
      <c r="AH559" s="1487"/>
      <c r="AI559" s="1499"/>
      <c r="AJ559" s="1500"/>
      <c r="AK559" s="1500"/>
      <c r="AL559" s="1501"/>
      <c r="AM559" s="1399">
        <v>4925514</v>
      </c>
      <c r="AN559" s="1400"/>
      <c r="AO559" s="1400"/>
      <c r="AP559" s="1400"/>
      <c r="AQ559" s="1400"/>
      <c r="AR559" s="1400"/>
      <c r="AS559" s="1401"/>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88" t="s">
        <v>2771</v>
      </c>
      <c r="D560" s="1488"/>
      <c r="E560" s="1488"/>
      <c r="F560" s="1488"/>
      <c r="G560" s="1488"/>
      <c r="H560" s="1488"/>
      <c r="I560" s="1488"/>
      <c r="J560" s="1488"/>
      <c r="K560" s="1488"/>
      <c r="L560" s="1488"/>
      <c r="M560" s="1509" t="s">
        <v>2442</v>
      </c>
      <c r="N560" s="1509"/>
      <c r="O560" s="1509"/>
      <c r="P560" s="1509"/>
      <c r="Q560" s="1490"/>
      <c r="R560" s="1491"/>
      <c r="S560" s="1492"/>
      <c r="T560" s="1490"/>
      <c r="U560" s="1491"/>
      <c r="V560" s="1492"/>
      <c r="W560" s="1482"/>
      <c r="X560" s="1483"/>
      <c r="Y560" s="1484"/>
      <c r="Z560" s="1503" t="s">
        <v>598</v>
      </c>
      <c r="AA560" s="1503"/>
      <c r="AB560" s="1503"/>
      <c r="AC560" s="1503"/>
      <c r="AD560" s="1503"/>
      <c r="AE560" s="1485"/>
      <c r="AF560" s="1486"/>
      <c r="AG560" s="1486"/>
      <c r="AH560" s="1487"/>
      <c r="AI560" s="1499"/>
      <c r="AJ560" s="1500"/>
      <c r="AK560" s="1500"/>
      <c r="AL560" s="1501"/>
      <c r="AM560" s="1399">
        <v>8250000</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88"/>
      <c r="D561" s="1488"/>
      <c r="E561" s="1488"/>
      <c r="F561" s="1488"/>
      <c r="G561" s="1488"/>
      <c r="H561" s="1488"/>
      <c r="I561" s="1488"/>
      <c r="J561" s="1488"/>
      <c r="K561" s="1488"/>
      <c r="L561" s="1488"/>
      <c r="M561" s="1509"/>
      <c r="N561" s="1509"/>
      <c r="O561" s="1509"/>
      <c r="P561" s="1509"/>
      <c r="Q561" s="1490"/>
      <c r="R561" s="1491"/>
      <c r="S561" s="1492"/>
      <c r="T561" s="1490"/>
      <c r="U561" s="1491"/>
      <c r="V561" s="1492"/>
      <c r="W561" s="1482"/>
      <c r="X561" s="1483"/>
      <c r="Y561" s="1484"/>
      <c r="Z561" s="1503"/>
      <c r="AA561" s="1503"/>
      <c r="AB561" s="1503"/>
      <c r="AC561" s="1503"/>
      <c r="AD561" s="1503"/>
      <c r="AE561" s="1485"/>
      <c r="AF561" s="1486"/>
      <c r="AG561" s="1486"/>
      <c r="AH561" s="1487"/>
      <c r="AI561" s="1499"/>
      <c r="AJ561" s="1500"/>
      <c r="AK561" s="1500"/>
      <c r="AL561" s="1501"/>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88"/>
      <c r="D562" s="1488"/>
      <c r="E562" s="1488"/>
      <c r="F562" s="1488"/>
      <c r="G562" s="1488"/>
      <c r="H562" s="1488"/>
      <c r="I562" s="1488"/>
      <c r="J562" s="1488"/>
      <c r="K562" s="1488"/>
      <c r="L562" s="1488"/>
      <c r="M562" s="1509"/>
      <c r="N562" s="1509"/>
      <c r="O562" s="1509"/>
      <c r="P562" s="1509"/>
      <c r="Q562" s="1490"/>
      <c r="R562" s="1491"/>
      <c r="S562" s="1492"/>
      <c r="T562" s="1490"/>
      <c r="U562" s="1491"/>
      <c r="V562" s="1492"/>
      <c r="W562" s="1482"/>
      <c r="X562" s="1483"/>
      <c r="Y562" s="1484"/>
      <c r="Z562" s="1503"/>
      <c r="AA562" s="1503"/>
      <c r="AB562" s="1503"/>
      <c r="AC562" s="1503"/>
      <c r="AD562" s="1503"/>
      <c r="AE562" s="1485"/>
      <c r="AF562" s="1486"/>
      <c r="AG562" s="1486"/>
      <c r="AH562" s="1487"/>
      <c r="AI562" s="1499"/>
      <c r="AJ562" s="1500"/>
      <c r="AK562" s="1500"/>
      <c r="AL562" s="1501"/>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88"/>
      <c r="D563" s="1488"/>
      <c r="E563" s="1488"/>
      <c r="F563" s="1488"/>
      <c r="G563" s="1488"/>
      <c r="H563" s="1488"/>
      <c r="I563" s="1488"/>
      <c r="J563" s="1488"/>
      <c r="K563" s="1488"/>
      <c r="L563" s="1488"/>
      <c r="M563" s="1509"/>
      <c r="N563" s="1509"/>
      <c r="O563" s="1509"/>
      <c r="P563" s="1509"/>
      <c r="Q563" s="1490"/>
      <c r="R563" s="1491"/>
      <c r="S563" s="1492"/>
      <c r="T563" s="1490"/>
      <c r="U563" s="1491"/>
      <c r="V563" s="1492"/>
      <c r="W563" s="1482"/>
      <c r="X563" s="1483"/>
      <c r="Y563" s="1484"/>
      <c r="Z563" s="1503"/>
      <c r="AA563" s="1503"/>
      <c r="AB563" s="1503"/>
      <c r="AC563" s="1503"/>
      <c r="AD563" s="1503"/>
      <c r="AE563" s="1485"/>
      <c r="AF563" s="1486"/>
      <c r="AG563" s="1486"/>
      <c r="AH563" s="1487"/>
      <c r="AI563" s="1499"/>
      <c r="AJ563" s="1500"/>
      <c r="AK563" s="1500"/>
      <c r="AL563" s="1501"/>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88"/>
      <c r="D564" s="1488"/>
      <c r="E564" s="1488"/>
      <c r="F564" s="1488"/>
      <c r="G564" s="1488"/>
      <c r="H564" s="1488"/>
      <c r="I564" s="1488"/>
      <c r="J564" s="1488"/>
      <c r="K564" s="1488"/>
      <c r="L564" s="1488"/>
      <c r="M564" s="1509"/>
      <c r="N564" s="1509"/>
      <c r="O564" s="1509"/>
      <c r="P564" s="1509"/>
      <c r="Q564" s="1490"/>
      <c r="R564" s="1491"/>
      <c r="S564" s="1492"/>
      <c r="T564" s="1490"/>
      <c r="U564" s="1491"/>
      <c r="V564" s="1492"/>
      <c r="W564" s="1482"/>
      <c r="X564" s="1483"/>
      <c r="Y564" s="1484"/>
      <c r="Z564" s="1503"/>
      <c r="AA564" s="1503"/>
      <c r="AB564" s="1503"/>
      <c r="AC564" s="1503"/>
      <c r="AD564" s="1503"/>
      <c r="AE564" s="1485"/>
      <c r="AF564" s="1486"/>
      <c r="AG564" s="1486"/>
      <c r="AH564" s="1487"/>
      <c r="AI564" s="1499"/>
      <c r="AJ564" s="1500"/>
      <c r="AK564" s="1500"/>
      <c r="AL564" s="1501"/>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88"/>
      <c r="D565" s="1488"/>
      <c r="E565" s="1488"/>
      <c r="F565" s="1488"/>
      <c r="G565" s="1488"/>
      <c r="H565" s="1488"/>
      <c r="I565" s="1488"/>
      <c r="J565" s="1488"/>
      <c r="K565" s="1488"/>
      <c r="L565" s="1488"/>
      <c r="M565" s="1509"/>
      <c r="N565" s="1509"/>
      <c r="O565" s="1509"/>
      <c r="P565" s="1509"/>
      <c r="Q565" s="1490"/>
      <c r="R565" s="1491"/>
      <c r="S565" s="1492"/>
      <c r="T565" s="1490"/>
      <c r="U565" s="1491"/>
      <c r="V565" s="1492"/>
      <c r="W565" s="1482"/>
      <c r="X565" s="1483"/>
      <c r="Y565" s="1484"/>
      <c r="Z565" s="1503"/>
      <c r="AA565" s="1503"/>
      <c r="AB565" s="1503"/>
      <c r="AC565" s="1503"/>
      <c r="AD565" s="1503"/>
      <c r="AE565" s="1485"/>
      <c r="AF565" s="1486"/>
      <c r="AG565" s="1486"/>
      <c r="AH565" s="1487"/>
      <c r="AI565" s="1499"/>
      <c r="AJ565" s="1500"/>
      <c r="AK565" s="1500"/>
      <c r="AL565" s="1501"/>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720"/>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122614912</v>
      </c>
      <c r="AN566" s="1591"/>
      <c r="AO566" s="1591"/>
      <c r="AP566" s="1591"/>
      <c r="AQ566" s="1591"/>
      <c r="AR566" s="1591"/>
      <c r="AS566" s="1592"/>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1" t="str">
        <f>C554</f>
        <v>Citibank, N.A.</v>
      </c>
      <c r="H568" s="1511"/>
      <c r="I568" s="1511"/>
      <c r="J568" s="1511"/>
      <c r="K568" s="1511"/>
      <c r="L568" s="1511"/>
      <c r="M568" s="1511"/>
      <c r="N568" s="1511"/>
      <c r="O568" s="1511"/>
      <c r="P568" s="1511"/>
      <c r="Q568" s="1511"/>
      <c r="R568" s="1511"/>
      <c r="S568" s="8"/>
      <c r="T568" s="55" t="s">
        <v>113</v>
      </c>
      <c r="U568" t="s">
        <v>470</v>
      </c>
      <c r="Z568" s="1511" t="str">
        <f>C555</f>
        <v>Citibank, N.A.</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2717</v>
      </c>
      <c r="H569" s="1432"/>
      <c r="I569" s="1432"/>
      <c r="J569" s="1432"/>
      <c r="K569" s="1432"/>
      <c r="L569" s="1432"/>
      <c r="M569" s="1432"/>
      <c r="N569" s="1432"/>
      <c r="O569" s="1432"/>
      <c r="P569" s="1432"/>
      <c r="Q569" s="1432"/>
      <c r="R569" s="1432"/>
      <c r="S569" s="8"/>
      <c r="T569" s="22"/>
      <c r="U569" t="s">
        <v>85</v>
      </c>
      <c r="Z569" s="1432" t="s">
        <v>2717</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32" t="s">
        <v>2718</v>
      </c>
      <c r="H570" s="1432"/>
      <c r="I570" s="1432"/>
      <c r="J570" s="1432"/>
      <c r="K570" s="1432"/>
      <c r="L570" s="1432"/>
      <c r="M570" s="1432"/>
      <c r="N570" s="1432"/>
      <c r="O570" s="1432"/>
      <c r="P570" s="1432"/>
      <c r="Q570" s="1432"/>
      <c r="R570" s="1432"/>
      <c r="T570" s="22"/>
      <c r="U570" t="s">
        <v>587</v>
      </c>
      <c r="Z570" s="1431" t="s">
        <v>2718</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2719</v>
      </c>
      <c r="H571" s="1432"/>
      <c r="I571" s="1432"/>
      <c r="J571" s="1432"/>
      <c r="K571" s="1432"/>
      <c r="L571" s="1432"/>
      <c r="M571" s="1432"/>
      <c r="N571" s="1432"/>
      <c r="O571" s="1432"/>
      <c r="P571" s="1432"/>
      <c r="Q571" s="1432"/>
      <c r="R571" s="1432"/>
      <c r="S571" s="8"/>
      <c r="T571" s="22"/>
      <c r="U571" t="s">
        <v>17</v>
      </c>
      <c r="Z571" s="1431" t="s">
        <v>2719</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0" t="s">
        <v>2720</v>
      </c>
      <c r="H572" s="1435"/>
      <c r="I572" s="1435"/>
      <c r="J572" s="1435"/>
      <c r="K572" s="1435"/>
      <c r="L572" s="1435"/>
      <c r="O572" s="33" t="s">
        <v>206</v>
      </c>
      <c r="P572" s="1419"/>
      <c r="Q572" s="1419"/>
      <c r="R572" s="1419"/>
      <c r="S572" s="10"/>
      <c r="T572" s="22"/>
      <c r="U572" t="s">
        <v>316</v>
      </c>
      <c r="Z572" s="1510" t="s">
        <v>2720</v>
      </c>
      <c r="AA572" s="1435"/>
      <c r="AB572" s="1435"/>
      <c r="AC572" s="1435"/>
      <c r="AD572" s="1435"/>
      <c r="AE572" s="1435"/>
      <c r="AH572" s="33" t="s">
        <v>206</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2721</v>
      </c>
      <c r="I573" s="1432"/>
      <c r="J573" s="1432"/>
      <c r="K573" s="1432"/>
      <c r="L573" s="1432"/>
      <c r="M573" s="1432"/>
      <c r="N573" s="1432"/>
      <c r="O573" s="1432"/>
      <c r="P573" s="1432"/>
      <c r="Q573" s="1432"/>
      <c r="R573" s="1432"/>
      <c r="S573" s="8"/>
      <c r="T573" s="22"/>
      <c r="U573" t="s">
        <v>18</v>
      </c>
      <c r="AA573" s="1432" t="s">
        <v>2722</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7" t="s">
        <v>598</v>
      </c>
      <c r="N574" s="1577"/>
      <c r="O574" s="1577"/>
      <c r="P574" s="1577"/>
      <c r="Q574" s="1577"/>
      <c r="R574" s="1577"/>
      <c r="S574" s="8"/>
      <c r="T574" s="22"/>
      <c r="U574" s="348" t="s">
        <v>1288</v>
      </c>
      <c r="AA574" s="8"/>
      <c r="AB574" s="8"/>
      <c r="AC574" s="8"/>
      <c r="AD574" s="8"/>
      <c r="AE574" s="8"/>
      <c r="AF574" s="1577" t="s">
        <v>598</v>
      </c>
      <c r="AG574" s="1577"/>
      <c r="AH574" s="1577"/>
      <c r="AI574" s="1577"/>
      <c r="AJ574" s="1577"/>
      <c r="AK574" s="157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552</v>
      </c>
      <c r="O575" s="1418"/>
      <c r="T575" s="22"/>
      <c r="U575" t="s">
        <v>20</v>
      </c>
      <c r="AG575" s="1418" t="s">
        <v>552</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1" t="str">
        <f>C556</f>
        <v>HCD - IIG Loan</v>
      </c>
      <c r="H577" s="1511"/>
      <c r="I577" s="1511"/>
      <c r="J577" s="1511"/>
      <c r="K577" s="1511"/>
      <c r="L577" s="1511"/>
      <c r="M577" s="1511"/>
      <c r="N577" s="1511"/>
      <c r="O577" s="1511"/>
      <c r="P577" s="1511"/>
      <c r="Q577" s="1511"/>
      <c r="R577" s="1511"/>
      <c r="T577" s="55" t="s">
        <v>588</v>
      </c>
      <c r="U577" t="s">
        <v>470</v>
      </c>
      <c r="Z577" s="1511" t="str">
        <f>C557</f>
        <v>Pacific West Communities, Inc.</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2772</v>
      </c>
      <c r="H578" s="1432"/>
      <c r="I578" s="1432"/>
      <c r="J578" s="1432"/>
      <c r="K578" s="1432"/>
      <c r="L578" s="1432"/>
      <c r="M578" s="1432"/>
      <c r="N578" s="1432"/>
      <c r="O578" s="1432"/>
      <c r="P578" s="1432"/>
      <c r="Q578" s="1432"/>
      <c r="R578" s="1432"/>
      <c r="T578" s="22"/>
      <c r="U578" t="s">
        <v>85</v>
      </c>
      <c r="Z578" s="1432" t="s">
        <v>2644</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1" t="s">
        <v>2773</v>
      </c>
      <c r="H579" s="1431"/>
      <c r="I579" s="1431"/>
      <c r="J579" s="1431"/>
      <c r="K579" s="1431"/>
      <c r="L579" s="1431"/>
      <c r="M579" s="1431"/>
      <c r="N579" s="1431"/>
      <c r="O579" s="1431"/>
      <c r="P579" s="1431"/>
      <c r="Q579" s="1431"/>
      <c r="R579" s="1431"/>
      <c r="T579" s="22"/>
      <c r="U579" t="s">
        <v>587</v>
      </c>
      <c r="Z579" s="1431" t="s">
        <v>2667</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2774</v>
      </c>
      <c r="H580" s="1431"/>
      <c r="I580" s="1431"/>
      <c r="J580" s="1431"/>
      <c r="K580" s="1431"/>
      <c r="L580" s="1431"/>
      <c r="M580" s="1431"/>
      <c r="N580" s="1431"/>
      <c r="O580" s="1431"/>
      <c r="P580" s="1431"/>
      <c r="Q580" s="1431"/>
      <c r="R580" s="1431"/>
      <c r="T580" s="22"/>
      <c r="U580" t="s">
        <v>17</v>
      </c>
      <c r="Z580" s="1431" t="s">
        <v>2642</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0" t="s">
        <v>2775</v>
      </c>
      <c r="H581" s="1435"/>
      <c r="I581" s="1435"/>
      <c r="J581" s="1435"/>
      <c r="K581" s="1435"/>
      <c r="L581" s="1435"/>
      <c r="O581" s="33" t="s">
        <v>206</v>
      </c>
      <c r="P581" s="1419"/>
      <c r="Q581" s="1419"/>
      <c r="R581" s="1419"/>
      <c r="T581" s="22"/>
      <c r="U581" t="s">
        <v>316</v>
      </c>
      <c r="Z581" s="1510" t="s">
        <v>2646</v>
      </c>
      <c r="AA581" s="1435"/>
      <c r="AB581" s="1435"/>
      <c r="AC581" s="1435"/>
      <c r="AD581" s="1435"/>
      <c r="AE581" s="1435"/>
      <c r="AH581" s="33" t="s">
        <v>206</v>
      </c>
      <c r="AI581" s="1419">
        <v>3015</v>
      </c>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2776</v>
      </c>
      <c r="I582" s="1432"/>
      <c r="J582" s="1432"/>
      <c r="K582" s="1432"/>
      <c r="L582" s="1432"/>
      <c r="M582" s="1432"/>
      <c r="N582" s="1432"/>
      <c r="O582" s="1432"/>
      <c r="P582" s="1432"/>
      <c r="Q582" s="1432"/>
      <c r="R582" s="1432"/>
      <c r="T582" s="22"/>
      <c r="U582" t="s">
        <v>18</v>
      </c>
      <c r="AA582" s="1432" t="s">
        <v>1846</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552</v>
      </c>
      <c r="O583" s="1418"/>
      <c r="T583" s="22"/>
      <c r="U583" t="s">
        <v>20</v>
      </c>
      <c r="AG583" s="1418" t="s">
        <v>552</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1" t="str">
        <f>C558</f>
        <v>Richmond Metrowalk Assoc.</v>
      </c>
      <c r="H585" s="1511"/>
      <c r="I585" s="1511"/>
      <c r="J585" s="1511"/>
      <c r="K585" s="1511"/>
      <c r="L585" s="1511"/>
      <c r="M585" s="1511"/>
      <c r="N585" s="1511"/>
      <c r="O585" s="1511"/>
      <c r="P585" s="1511"/>
      <c r="Q585" s="1511"/>
      <c r="R585" s="1511"/>
      <c r="T585" s="55" t="s">
        <v>591</v>
      </c>
      <c r="U585" t="s">
        <v>470</v>
      </c>
      <c r="Z585" s="1511" t="str">
        <f>C559</f>
        <v>Boston Financial</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2644</v>
      </c>
      <c r="H586" s="1432"/>
      <c r="I586" s="1432"/>
      <c r="J586" s="1432"/>
      <c r="K586" s="1432"/>
      <c r="L586" s="1432"/>
      <c r="M586" s="1432"/>
      <c r="N586" s="1432"/>
      <c r="O586" s="1432"/>
      <c r="P586" s="1432"/>
      <c r="Q586" s="1432"/>
      <c r="R586" s="1432"/>
      <c r="T586" s="22"/>
      <c r="U586" t="s">
        <v>85</v>
      </c>
      <c r="Z586" s="1432" t="s">
        <v>2688</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32" t="s">
        <v>2667</v>
      </c>
      <c r="H587" s="1432"/>
      <c r="I587" s="1432"/>
      <c r="J587" s="1432"/>
      <c r="K587" s="1432"/>
      <c r="L587" s="1432"/>
      <c r="M587" s="1432"/>
      <c r="N587" s="1432"/>
      <c r="O587" s="1432"/>
      <c r="P587" s="1432"/>
      <c r="Q587" s="1432"/>
      <c r="R587" s="1432"/>
      <c r="T587" s="22"/>
      <c r="U587" t="s">
        <v>587</v>
      </c>
      <c r="Z587" s="1431" t="s">
        <v>2689</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2642</v>
      </c>
      <c r="H588" s="1432"/>
      <c r="I588" s="1432"/>
      <c r="J588" s="1432"/>
      <c r="K588" s="1432"/>
      <c r="L588" s="1432"/>
      <c r="M588" s="1432"/>
      <c r="N588" s="1432"/>
      <c r="O588" s="1432"/>
      <c r="P588" s="1432"/>
      <c r="Q588" s="1432"/>
      <c r="R588" s="1432"/>
      <c r="T588" s="22"/>
      <c r="U588" t="s">
        <v>17</v>
      </c>
      <c r="Z588" s="1431" t="s">
        <v>2690</v>
      </c>
      <c r="AA588" s="1431"/>
      <c r="AB588" s="1431"/>
      <c r="AC588" s="1431"/>
      <c r="AD588" s="1431"/>
      <c r="AE588" s="1431"/>
      <c r="AF588" s="1431"/>
      <c r="AG588" s="1431"/>
      <c r="AH588" s="1431"/>
      <c r="AI588" s="1431"/>
      <c r="AJ588" s="1431"/>
      <c r="AK588" s="1431"/>
    </row>
    <row r="589" spans="1:110" ht="12.95" customHeight="1">
      <c r="A589" s="22"/>
      <c r="B589" t="s">
        <v>316</v>
      </c>
      <c r="G589" s="1510" t="s">
        <v>2646</v>
      </c>
      <c r="H589" s="1435"/>
      <c r="I589" s="1435"/>
      <c r="J589" s="1435"/>
      <c r="K589" s="1435"/>
      <c r="L589" s="1435"/>
      <c r="O589" s="33" t="s">
        <v>206</v>
      </c>
      <c r="P589" s="1419">
        <v>3015</v>
      </c>
      <c r="Q589" s="1419"/>
      <c r="R589" s="1419"/>
      <c r="T589" s="22"/>
      <c r="U589" t="s">
        <v>316</v>
      </c>
      <c r="Z589" s="1510" t="s">
        <v>2691</v>
      </c>
      <c r="AA589" s="1435"/>
      <c r="AB589" s="1435"/>
      <c r="AC589" s="1435"/>
      <c r="AD589" s="1435"/>
      <c r="AE589" s="1435"/>
      <c r="AH589" s="33" t="s">
        <v>206</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2723</v>
      </c>
      <c r="I590" s="1432"/>
      <c r="J590" s="1432"/>
      <c r="K590" s="1432"/>
      <c r="L590" s="1432"/>
      <c r="M590" s="1432"/>
      <c r="N590" s="1432"/>
      <c r="O590" s="1432"/>
      <c r="P590" s="1432"/>
      <c r="Q590" s="1432"/>
      <c r="R590" s="1432"/>
      <c r="T590" s="22"/>
      <c r="U590" t="s">
        <v>18</v>
      </c>
      <c r="AA590" s="1432" t="s">
        <v>2724</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552</v>
      </c>
      <c r="O591" s="1418"/>
      <c r="T591" s="22"/>
      <c r="U591" t="s">
        <v>20</v>
      </c>
      <c r="AG591" s="1418" t="s">
        <v>675</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1" t="str">
        <f>C560</f>
        <v>City of Richmond - Value of Ground Lease</v>
      </c>
      <c r="H593" s="1511"/>
      <c r="I593" s="1511"/>
      <c r="J593" s="1511"/>
      <c r="K593" s="1511"/>
      <c r="L593" s="1511"/>
      <c r="M593" s="1511"/>
      <c r="N593" s="1511"/>
      <c r="O593" s="1511"/>
      <c r="P593" s="1511"/>
      <c r="Q593" s="1511"/>
      <c r="R593" s="1511"/>
      <c r="T593" s="55" t="s">
        <v>463</v>
      </c>
      <c r="U593" t="s">
        <v>470</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t="s">
        <v>2777</v>
      </c>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32" t="s">
        <v>2762</v>
      </c>
      <c r="H595" s="1432"/>
      <c r="I595" s="1432"/>
      <c r="J595" s="1432"/>
      <c r="K595" s="1432"/>
      <c r="L595" s="1432"/>
      <c r="M595" s="1432"/>
      <c r="N595" s="1432"/>
      <c r="O595" s="1432"/>
      <c r="P595" s="1432"/>
      <c r="Q595" s="1432"/>
      <c r="R595" s="1432"/>
      <c r="S595"/>
      <c r="T595" s="22"/>
      <c r="U595" t="s">
        <v>587</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t="s">
        <v>2778</v>
      </c>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324</v>
      </c>
      <c r="BB596" s="3"/>
      <c r="BC596" s="3"/>
      <c r="BD596" s="3"/>
      <c r="BE596" s="121" t="s">
        <v>481</v>
      </c>
      <c r="BF596" s="122"/>
      <c r="BG596" s="1393"/>
      <c r="BH596" s="1394"/>
      <c r="BI596" s="121" t="s">
        <v>482</v>
      </c>
      <c r="BJ596" s="122"/>
      <c r="BK596" s="1393"/>
      <c r="BL596" s="1394"/>
      <c r="BM596" s="3"/>
      <c r="BN596" s="1518" t="s">
        <v>639</v>
      </c>
      <c r="BO596" s="1519"/>
      <c r="BP596" s="1519"/>
      <c r="BQ596" s="1519"/>
      <c r="BR596" s="1520"/>
      <c r="BS596" s="1516" t="s">
        <v>325</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639</v>
      </c>
      <c r="CT596" s="1516"/>
      <c r="CU596" s="1516"/>
      <c r="CV596" s="1516"/>
      <c r="CW596" s="1516"/>
      <c r="CX596" s="1516" t="s">
        <v>325</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639</v>
      </c>
      <c r="DY596" s="1516"/>
      <c r="DZ596" s="1516"/>
      <c r="EA596" s="1516"/>
      <c r="EB596" s="1516"/>
      <c r="EC596" s="1516" t="s">
        <v>325</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5" customHeight="1">
      <c r="A597" s="22"/>
      <c r="B597" t="s">
        <v>316</v>
      </c>
      <c r="C597"/>
      <c r="D597"/>
      <c r="E597"/>
      <c r="F597"/>
      <c r="G597" s="1510" t="s">
        <v>2779</v>
      </c>
      <c r="H597" s="1435"/>
      <c r="I597" s="1435"/>
      <c r="J597" s="1435"/>
      <c r="K597" s="1435"/>
      <c r="L597" s="1435"/>
      <c r="M597"/>
      <c r="N597"/>
      <c r="O597" s="33" t="s">
        <v>206</v>
      </c>
      <c r="P597" s="1419"/>
      <c r="Q597" s="1419"/>
      <c r="R597" s="1419"/>
      <c r="S597"/>
      <c r="T597" s="22"/>
      <c r="U597" t="s">
        <v>316</v>
      </c>
      <c r="V597"/>
      <c r="W597"/>
      <c r="X597"/>
      <c r="Y597"/>
      <c r="Z597" s="1510"/>
      <c r="AA597" s="1435"/>
      <c r="AB597" s="1435"/>
      <c r="AC597" s="1435"/>
      <c r="AD597" s="1435"/>
      <c r="AE597" s="1435"/>
      <c r="AF597"/>
      <c r="AG597"/>
      <c r="AH597" s="33" t="s">
        <v>206</v>
      </c>
      <c r="AI597" s="1419"/>
      <c r="AJ597" s="1419"/>
      <c r="AK597" s="1419"/>
      <c r="AL597"/>
      <c r="AM597"/>
      <c r="AN597"/>
      <c r="AO597"/>
      <c r="AP597"/>
      <c r="AQ597"/>
      <c r="AR597"/>
      <c r="AS597"/>
      <c r="AT597"/>
      <c r="AU597"/>
      <c r="AV597"/>
      <c r="AW597"/>
      <c r="AX597"/>
      <c r="AY597"/>
      <c r="BA597" s="4" t="s">
        <v>325</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6</v>
      </c>
      <c r="BL597" s="1394"/>
      <c r="BM597" s="3"/>
      <c r="BN597" s="1395">
        <f t="shared" ref="BN597:BN631" si="5">IF(B718="SRO/Studio",G718,0)</f>
        <v>6</v>
      </c>
      <c r="BO597" s="1396"/>
      <c r="BP597" s="1396"/>
      <c r="BQ597" s="1396"/>
      <c r="BR597" s="1397"/>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6</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f t="shared" ref="DX597:DX631" si="17">IF(BN597&gt;0,O718,"")</f>
        <v>752</v>
      </c>
      <c r="DY597" s="1354"/>
      <c r="DZ597" s="1354"/>
      <c r="EA597" s="1354"/>
      <c r="EB597" s="1355"/>
      <c r="EC597" s="1353" t="str">
        <f t="shared" ref="EC597:EC631" si="18">IF(BS597&gt;0,O718,"")</f>
        <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5" customHeight="1">
      <c r="A598" s="22"/>
      <c r="B598" t="s">
        <v>18</v>
      </c>
      <c r="C598"/>
      <c r="D598"/>
      <c r="E598"/>
      <c r="F598"/>
      <c r="G598"/>
      <c r="H598" s="1432" t="s">
        <v>2780</v>
      </c>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53">
        <f t="shared" si="1"/>
        <v>1</v>
      </c>
      <c r="BF598" s="1355"/>
      <c r="BG598" s="1393">
        <f t="shared" si="2"/>
        <v>6</v>
      </c>
      <c r="BH598" s="1394"/>
      <c r="BI598" s="1353">
        <f t="shared" si="3"/>
        <v>0</v>
      </c>
      <c r="BJ598" s="1355"/>
      <c r="BK598" s="1393">
        <f t="shared" si="4"/>
        <v>0</v>
      </c>
      <c r="BL598" s="1394"/>
      <c r="BM598" s="3"/>
      <c r="BN598" s="1395">
        <f t="shared" si="5"/>
        <v>6</v>
      </c>
      <c r="BO598" s="1396"/>
      <c r="BP598" s="1396"/>
      <c r="BQ598" s="1396"/>
      <c r="BR598" s="1397"/>
      <c r="BS598" s="1392">
        <f t="shared" si="6"/>
        <v>0</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f t="shared" si="17"/>
        <v>1297</v>
      </c>
      <c r="DY598" s="1354"/>
      <c r="DZ598" s="1354"/>
      <c r="EA598" s="1354"/>
      <c r="EB598" s="1355"/>
      <c r="EC598" s="1353" t="str">
        <f t="shared" si="18"/>
        <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5" customHeight="1">
      <c r="A599" s="22"/>
      <c r="B599" t="s">
        <v>20</v>
      </c>
      <c r="N599" s="1418" t="s">
        <v>552</v>
      </c>
      <c r="O599" s="1418"/>
      <c r="T599" s="22"/>
      <c r="U599" t="s">
        <v>20</v>
      </c>
      <c r="AG599" s="1418" t="s">
        <v>675</v>
      </c>
      <c r="AH599" s="1418"/>
      <c r="BA599" s="4" t="s">
        <v>164</v>
      </c>
      <c r="BB599" s="3"/>
      <c r="BC599" s="3"/>
      <c r="BD599" s="3"/>
      <c r="BE599" s="1353">
        <f t="shared" si="1"/>
        <v>0</v>
      </c>
      <c r="BF599" s="1355"/>
      <c r="BG599" s="1393">
        <f t="shared" si="2"/>
        <v>0</v>
      </c>
      <c r="BH599" s="1394"/>
      <c r="BI599" s="1353">
        <f t="shared" si="3"/>
        <v>0</v>
      </c>
      <c r="BJ599" s="1355"/>
      <c r="BK599" s="1393">
        <f t="shared" si="4"/>
        <v>0</v>
      </c>
      <c r="BL599" s="1394"/>
      <c r="BM599" s="3"/>
      <c r="BN599" s="1395">
        <f t="shared" si="5"/>
        <v>10</v>
      </c>
      <c r="BO599" s="1396"/>
      <c r="BP599" s="1396"/>
      <c r="BQ599" s="1396"/>
      <c r="BR599" s="1397"/>
      <c r="BS599" s="1392">
        <f t="shared" si="6"/>
        <v>0</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f t="shared" si="17"/>
        <v>1570</v>
      </c>
      <c r="DY599" s="1354"/>
      <c r="DZ599" s="1354"/>
      <c r="EA599" s="1354"/>
      <c r="EB599" s="1355"/>
      <c r="EC599" s="1353" t="str">
        <f t="shared" si="18"/>
        <v/>
      </c>
      <c r="ED599" s="1354"/>
      <c r="EE599" s="1354"/>
      <c r="EF599" s="1354"/>
      <c r="EG599" s="1355"/>
      <c r="EH599" s="1353" t="str">
        <f t="shared" si="19"/>
        <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5" customHeight="1">
      <c r="A600" s="22"/>
      <c r="T600" s="22"/>
      <c r="BA600" s="4" t="s">
        <v>165</v>
      </c>
      <c r="BB600" s="3"/>
      <c r="BC600" s="3"/>
      <c r="BD600" s="3"/>
      <c r="BE600" s="1353">
        <f t="shared" si="1"/>
        <v>0</v>
      </c>
      <c r="BF600" s="1355"/>
      <c r="BG600" s="1393">
        <f t="shared" si="2"/>
        <v>0</v>
      </c>
      <c r="BH600" s="1394"/>
      <c r="BI600" s="1353">
        <f t="shared" si="3"/>
        <v>1</v>
      </c>
      <c r="BJ600" s="1355"/>
      <c r="BK600" s="1393">
        <f t="shared" si="4"/>
        <v>3</v>
      </c>
      <c r="BL600" s="1394"/>
      <c r="BM600" s="3"/>
      <c r="BN600" s="1395">
        <f t="shared" si="5"/>
        <v>0</v>
      </c>
      <c r="BO600" s="1396"/>
      <c r="BP600" s="1396"/>
      <c r="BQ600" s="1396"/>
      <c r="BR600" s="1397"/>
      <c r="BS600" s="1392">
        <f t="shared" si="6"/>
        <v>3</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3</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53" t="str">
        <f t="shared" si="17"/>
        <v/>
      </c>
      <c r="DY600" s="1354"/>
      <c r="DZ600" s="1354"/>
      <c r="EA600" s="1354"/>
      <c r="EB600" s="1355"/>
      <c r="EC600" s="1353">
        <f t="shared" si="18"/>
        <v>798</v>
      </c>
      <c r="ED600" s="1354"/>
      <c r="EE600" s="1354"/>
      <c r="EF600" s="1354"/>
      <c r="EG600" s="1355"/>
      <c r="EH600" s="1353" t="str">
        <f t="shared" si="19"/>
        <v/>
      </c>
      <c r="EI600" s="1354"/>
      <c r="EJ600" s="1354"/>
      <c r="EK600" s="1354"/>
      <c r="EL600" s="1355"/>
      <c r="EM600" s="1353" t="str">
        <f t="shared" si="20"/>
        <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5" customHeight="1">
      <c r="A601" s="55" t="s">
        <v>468</v>
      </c>
      <c r="B601" t="s">
        <v>470</v>
      </c>
      <c r="G601" s="1511">
        <f>C562</f>
        <v>0</v>
      </c>
      <c r="H601" s="1511"/>
      <c r="I601" s="1511"/>
      <c r="J601" s="1511"/>
      <c r="K601" s="1511"/>
      <c r="L601" s="1511"/>
      <c r="M601" s="1511"/>
      <c r="N601" s="1511"/>
      <c r="O601" s="1511"/>
      <c r="P601" s="1511"/>
      <c r="Q601" s="1511"/>
      <c r="R601" s="1511"/>
      <c r="T601" s="55" t="s">
        <v>652</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53">
        <f t="shared" si="1"/>
        <v>1</v>
      </c>
      <c r="BF601" s="1355"/>
      <c r="BG601" s="1393">
        <f t="shared" si="2"/>
        <v>3</v>
      </c>
      <c r="BH601" s="1394"/>
      <c r="BI601" s="1353">
        <f t="shared" si="3"/>
        <v>0</v>
      </c>
      <c r="BJ601" s="1355"/>
      <c r="BK601" s="1393">
        <f t="shared" si="4"/>
        <v>0</v>
      </c>
      <c r="BL601" s="1394"/>
      <c r="BM601" s="3"/>
      <c r="BN601" s="1395">
        <f t="shared" si="5"/>
        <v>0</v>
      </c>
      <c r="BO601" s="1396"/>
      <c r="BP601" s="1396"/>
      <c r="BQ601" s="1396"/>
      <c r="BR601" s="1397"/>
      <c r="BS601" s="1392">
        <f t="shared" si="6"/>
        <v>3</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t="str">
        <f t="shared" si="17"/>
        <v/>
      </c>
      <c r="DY601" s="1354"/>
      <c r="DZ601" s="1354"/>
      <c r="EA601" s="1354"/>
      <c r="EB601" s="1355"/>
      <c r="EC601" s="1353">
        <f t="shared" si="18"/>
        <v>1382</v>
      </c>
      <c r="ED601" s="1354"/>
      <c r="EE601" s="1354"/>
      <c r="EF601" s="1354"/>
      <c r="EG601" s="1355"/>
      <c r="EH601" s="1353" t="str">
        <f t="shared" si="19"/>
        <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53">
        <f t="shared" si="1"/>
        <v>0</v>
      </c>
      <c r="BF602" s="1355"/>
      <c r="BG602" s="1393">
        <f t="shared" si="2"/>
        <v>0</v>
      </c>
      <c r="BH602" s="1394"/>
      <c r="BI602" s="1353">
        <f t="shared" si="3"/>
        <v>0</v>
      </c>
      <c r="BJ602" s="1355"/>
      <c r="BK602" s="1393">
        <f t="shared" si="4"/>
        <v>0</v>
      </c>
      <c r="BL602" s="1394"/>
      <c r="BM602" s="3"/>
      <c r="BN602" s="1395">
        <f t="shared" si="5"/>
        <v>0</v>
      </c>
      <c r="BO602" s="1396"/>
      <c r="BP602" s="1396"/>
      <c r="BQ602" s="1396"/>
      <c r="BR602" s="1397"/>
      <c r="BS602" s="1392">
        <f t="shared" si="6"/>
        <v>4</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t="str">
        <f t="shared" si="17"/>
        <v/>
      </c>
      <c r="DY602" s="1354"/>
      <c r="DZ602" s="1354"/>
      <c r="EA602" s="1354"/>
      <c r="EB602" s="1355"/>
      <c r="EC602" s="1353">
        <f t="shared" si="18"/>
        <v>1674</v>
      </c>
      <c r="ED602" s="1354"/>
      <c r="EE602" s="1354"/>
      <c r="EF602" s="1354"/>
      <c r="EG602" s="1355"/>
      <c r="EH602" s="1353" t="str">
        <f t="shared" si="19"/>
        <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5" customHeight="1">
      <c r="A603" s="22"/>
      <c r="B603" t="s">
        <v>587</v>
      </c>
      <c r="G603" s="1432"/>
      <c r="H603" s="1432"/>
      <c r="I603" s="1432"/>
      <c r="J603" s="1432"/>
      <c r="K603" s="1432"/>
      <c r="L603" s="1432"/>
      <c r="M603" s="1432"/>
      <c r="N603" s="1432"/>
      <c r="O603" s="1432"/>
      <c r="P603" s="1432"/>
      <c r="Q603" s="1432"/>
      <c r="R603" s="1432"/>
      <c r="T603" s="22"/>
      <c r="U603" t="s">
        <v>587</v>
      </c>
      <c r="Z603" s="1431"/>
      <c r="AA603" s="1431"/>
      <c r="AB603" s="1431"/>
      <c r="AC603" s="1431"/>
      <c r="AD603" s="1431"/>
      <c r="AE603" s="1431"/>
      <c r="AF603" s="1431"/>
      <c r="AG603" s="1431"/>
      <c r="AH603" s="1431"/>
      <c r="AI603" s="1431"/>
      <c r="AJ603" s="1431"/>
      <c r="AK603" s="1431"/>
      <c r="AZ603" s="3"/>
      <c r="BA603" s="3"/>
      <c r="BB603" s="3"/>
      <c r="BC603" s="3"/>
      <c r="BD603" s="3"/>
      <c r="BE603" s="1353">
        <f t="shared" si="1"/>
        <v>0</v>
      </c>
      <c r="BF603" s="1355"/>
      <c r="BG603" s="1393">
        <f t="shared" si="2"/>
        <v>0</v>
      </c>
      <c r="BH603" s="1394"/>
      <c r="BI603" s="1353">
        <f t="shared" si="3"/>
        <v>1</v>
      </c>
      <c r="BJ603" s="1355"/>
      <c r="BK603" s="1393">
        <f t="shared" si="4"/>
        <v>16</v>
      </c>
      <c r="BL603" s="1394"/>
      <c r="BM603" s="3"/>
      <c r="BN603" s="1395">
        <f t="shared" si="5"/>
        <v>0</v>
      </c>
      <c r="BO603" s="1396"/>
      <c r="BP603" s="1396"/>
      <c r="BQ603" s="1396"/>
      <c r="BR603" s="1397"/>
      <c r="BS603" s="1392">
        <f t="shared" si="6"/>
        <v>0</v>
      </c>
      <c r="BT603" s="1392"/>
      <c r="BU603" s="1392"/>
      <c r="BV603" s="1392"/>
      <c r="BW603" s="1392"/>
      <c r="BX603" s="1392">
        <f t="shared" si="7"/>
        <v>16</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16</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t="str">
        <f t="shared" si="18"/>
        <v/>
      </c>
      <c r="ED603" s="1354"/>
      <c r="EE603" s="1354"/>
      <c r="EF603" s="1354"/>
      <c r="EG603" s="1355"/>
      <c r="EH603" s="1353">
        <f t="shared" si="19"/>
        <v>940</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53">
        <f t="shared" si="1"/>
        <v>1</v>
      </c>
      <c r="BF604" s="1355"/>
      <c r="BG604" s="1393">
        <f t="shared" si="2"/>
        <v>10</v>
      </c>
      <c r="BH604" s="1394"/>
      <c r="BI604" s="1353">
        <f t="shared" si="3"/>
        <v>0</v>
      </c>
      <c r="BJ604" s="1355"/>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10</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t="str">
        <f t="shared" si="18"/>
        <v/>
      </c>
      <c r="ED604" s="1354"/>
      <c r="EE604" s="1354"/>
      <c r="EF604" s="1354"/>
      <c r="EG604" s="1355"/>
      <c r="EH604" s="1353">
        <f t="shared" si="19"/>
        <v>1641</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5" customHeight="1">
      <c r="A605" s="22"/>
      <c r="B605" t="s">
        <v>316</v>
      </c>
      <c r="C605"/>
      <c r="D605"/>
      <c r="E605"/>
      <c r="F605"/>
      <c r="G605" s="1510"/>
      <c r="H605" s="1435"/>
      <c r="I605" s="1435"/>
      <c r="J605" s="1435"/>
      <c r="K605" s="1435"/>
      <c r="L605" s="1435"/>
      <c r="M605"/>
      <c r="N605"/>
      <c r="O605" s="33" t="s">
        <v>206</v>
      </c>
      <c r="P605" s="1419"/>
      <c r="Q605" s="1419"/>
      <c r="R605" s="1419"/>
      <c r="S605"/>
      <c r="T605" s="22"/>
      <c r="U605" t="s">
        <v>316</v>
      </c>
      <c r="V605"/>
      <c r="W605"/>
      <c r="X605"/>
      <c r="Y605"/>
      <c r="Z605" s="1510"/>
      <c r="AA605" s="1435"/>
      <c r="AB605" s="1435"/>
      <c r="AC605" s="1435"/>
      <c r="AD605" s="1435"/>
      <c r="AE605" s="1435"/>
      <c r="AF605"/>
      <c r="AG605"/>
      <c r="AH605" s="33" t="s">
        <v>206</v>
      </c>
      <c r="AI605" s="1419"/>
      <c r="AJ605" s="1419"/>
      <c r="AK605" s="1419"/>
      <c r="AL605"/>
      <c r="AM605"/>
      <c r="AN605"/>
      <c r="AO605"/>
      <c r="AP605"/>
      <c r="AQ605"/>
      <c r="AR605"/>
      <c r="AS605"/>
      <c r="AT605"/>
      <c r="AU605"/>
      <c r="AV605"/>
      <c r="AW605"/>
      <c r="AX605"/>
      <c r="AY605"/>
      <c r="AZ605" s="3"/>
      <c r="BA605" s="3"/>
      <c r="BB605" s="3"/>
      <c r="BC605" s="3"/>
      <c r="BD605" s="3"/>
      <c r="BE605" s="1353">
        <f t="shared" si="1"/>
        <v>0</v>
      </c>
      <c r="BF605" s="1355"/>
      <c r="BG605" s="1393">
        <f t="shared" si="2"/>
        <v>0</v>
      </c>
      <c r="BH605" s="1394"/>
      <c r="BI605" s="1353">
        <f t="shared" si="3"/>
        <v>0</v>
      </c>
      <c r="BJ605" s="1355"/>
      <c r="BK605" s="1393">
        <f t="shared" si="4"/>
        <v>0</v>
      </c>
      <c r="BL605" s="1394"/>
      <c r="BM605" s="3"/>
      <c r="BN605" s="1395">
        <f t="shared" si="5"/>
        <v>0</v>
      </c>
      <c r="BO605" s="1396"/>
      <c r="BP605" s="1396"/>
      <c r="BQ605" s="1396"/>
      <c r="BR605" s="1397"/>
      <c r="BS605" s="1392">
        <f t="shared" si="6"/>
        <v>0</v>
      </c>
      <c r="BT605" s="1392"/>
      <c r="BU605" s="1392"/>
      <c r="BV605" s="1392"/>
      <c r="BW605" s="1392"/>
      <c r="BX605" s="1392">
        <f t="shared" si="7"/>
        <v>42</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53" t="str">
        <f t="shared" si="17"/>
        <v/>
      </c>
      <c r="DY605" s="1354"/>
      <c r="DZ605" s="1354"/>
      <c r="EA605" s="1354"/>
      <c r="EB605" s="1355"/>
      <c r="EC605" s="1353" t="str">
        <f t="shared" si="18"/>
        <v/>
      </c>
      <c r="ED605" s="1354"/>
      <c r="EE605" s="1354"/>
      <c r="EF605" s="1354"/>
      <c r="EG605" s="1355"/>
      <c r="EH605" s="1353">
        <f t="shared" si="19"/>
        <v>1992</v>
      </c>
      <c r="EI605" s="1354"/>
      <c r="EJ605" s="1354"/>
      <c r="EK605" s="1354"/>
      <c r="EL605" s="1355"/>
      <c r="EM605" s="1353" t="str">
        <f t="shared" si="20"/>
        <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53">
        <f t="shared" si="1"/>
        <v>0</v>
      </c>
      <c r="BF606" s="1355"/>
      <c r="BG606" s="1393">
        <f t="shared" si="2"/>
        <v>0</v>
      </c>
      <c r="BH606" s="1394"/>
      <c r="BI606" s="1353">
        <f t="shared" si="3"/>
        <v>1</v>
      </c>
      <c r="BJ606" s="1355"/>
      <c r="BK606" s="1393">
        <f t="shared" si="4"/>
        <v>13</v>
      </c>
      <c r="BL606" s="1394"/>
      <c r="BM606" s="3"/>
      <c r="BN606" s="1395">
        <f t="shared" si="5"/>
        <v>0</v>
      </c>
      <c r="BO606" s="1396"/>
      <c r="BP606" s="1396"/>
      <c r="BQ606" s="1396"/>
      <c r="BR606" s="1397"/>
      <c r="BS606" s="1392">
        <f t="shared" si="6"/>
        <v>0</v>
      </c>
      <c r="BT606" s="1392"/>
      <c r="BU606" s="1392"/>
      <c r="BV606" s="1392"/>
      <c r="BW606" s="1392"/>
      <c r="BX606" s="1392">
        <f t="shared" si="7"/>
        <v>0</v>
      </c>
      <c r="BY606" s="1392"/>
      <c r="BZ606" s="1392"/>
      <c r="CA606" s="1392"/>
      <c r="CB606" s="1392"/>
      <c r="CC606" s="1392">
        <f t="shared" si="8"/>
        <v>13</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13</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t="str">
        <f t="shared" si="18"/>
        <v/>
      </c>
      <c r="ED606" s="1354"/>
      <c r="EE606" s="1354"/>
      <c r="EF606" s="1354"/>
      <c r="EG606" s="1355"/>
      <c r="EH606" s="1353" t="str">
        <f t="shared" si="19"/>
        <v/>
      </c>
      <c r="EI606" s="1354"/>
      <c r="EJ606" s="1354"/>
      <c r="EK606" s="1354"/>
      <c r="EL606" s="1355"/>
      <c r="EM606" s="1353">
        <f t="shared" si="20"/>
        <v>1072</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5" customHeight="1">
      <c r="A607" s="22"/>
      <c r="B607" t="s">
        <v>20</v>
      </c>
      <c r="C607"/>
      <c r="D607"/>
      <c r="E607"/>
      <c r="F607"/>
      <c r="G607"/>
      <c r="H607"/>
      <c r="I607"/>
      <c r="J607"/>
      <c r="K607"/>
      <c r="L607"/>
      <c r="M607"/>
      <c r="N607" s="1418" t="s">
        <v>675</v>
      </c>
      <c r="O607" s="1418"/>
      <c r="P607"/>
      <c r="Q607"/>
      <c r="R607"/>
      <c r="S607"/>
      <c r="T607" s="22"/>
      <c r="U607" t="s">
        <v>20</v>
      </c>
      <c r="V607"/>
      <c r="W607"/>
      <c r="X607"/>
      <c r="Y607"/>
      <c r="Z607"/>
      <c r="AA607"/>
      <c r="AB607"/>
      <c r="AC607"/>
      <c r="AD607"/>
      <c r="AE607"/>
      <c r="AF607"/>
      <c r="AG607" s="1418" t="s">
        <v>675</v>
      </c>
      <c r="AH607" s="1418"/>
      <c r="AI607"/>
      <c r="AJ607"/>
      <c r="AK607"/>
      <c r="AL607"/>
      <c r="AM607"/>
      <c r="AN607"/>
      <c r="AO607"/>
      <c r="AP607"/>
      <c r="AQ607"/>
      <c r="AR607"/>
      <c r="AS607"/>
      <c r="AT607"/>
      <c r="AU607"/>
      <c r="AV607"/>
      <c r="AW607"/>
      <c r="AX607"/>
      <c r="AY607"/>
      <c r="AZ607" s="3"/>
      <c r="BA607" s="3"/>
      <c r="BB607" s="3"/>
      <c r="BC607" s="3"/>
      <c r="BD607" s="3"/>
      <c r="BE607" s="1353">
        <f t="shared" si="1"/>
        <v>1</v>
      </c>
      <c r="BF607" s="1355"/>
      <c r="BG607" s="1393">
        <f t="shared" si="2"/>
        <v>17</v>
      </c>
      <c r="BH607" s="1394"/>
      <c r="BI607" s="1353">
        <f t="shared" si="3"/>
        <v>0</v>
      </c>
      <c r="BJ607" s="1355"/>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0</v>
      </c>
      <c r="BY607" s="1392"/>
      <c r="BZ607" s="1392"/>
      <c r="CA607" s="1392"/>
      <c r="CB607" s="1392"/>
      <c r="CC607" s="1392">
        <f t="shared" si="8"/>
        <v>17</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t="str">
        <f t="shared" si="18"/>
        <v/>
      </c>
      <c r="ED607" s="1354"/>
      <c r="EE607" s="1354"/>
      <c r="EF607" s="1354"/>
      <c r="EG607" s="1355"/>
      <c r="EH607" s="1353" t="str">
        <f t="shared" si="19"/>
        <v/>
      </c>
      <c r="EI607" s="1354"/>
      <c r="EJ607" s="1354"/>
      <c r="EK607" s="1354"/>
      <c r="EL607" s="1355"/>
      <c r="EM607" s="1353">
        <f t="shared" si="20"/>
        <v>1882</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5"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19</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t="str">
        <f t="shared" si="18"/>
        <v/>
      </c>
      <c r="ED608" s="1354"/>
      <c r="EE608" s="1354"/>
      <c r="EF608" s="1354"/>
      <c r="EG608" s="1355"/>
      <c r="EH608" s="1353" t="str">
        <f t="shared" si="19"/>
        <v/>
      </c>
      <c r="EI608" s="1354"/>
      <c r="EJ608" s="1354"/>
      <c r="EK608" s="1354"/>
      <c r="EL608" s="1355"/>
      <c r="EM608" s="1353">
        <f t="shared" si="20"/>
        <v>2287</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5" customHeight="1">
      <c r="A609" s="55" t="s">
        <v>362</v>
      </c>
      <c r="B609" t="s">
        <v>470</v>
      </c>
      <c r="G609" s="1511">
        <f>C564</f>
        <v>0</v>
      </c>
      <c r="H609" s="1511"/>
      <c r="I609" s="1511"/>
      <c r="J609" s="1511"/>
      <c r="K609" s="1511"/>
      <c r="L609" s="1511"/>
      <c r="M609" s="1511"/>
      <c r="N609" s="1511"/>
      <c r="O609" s="1511"/>
      <c r="P609" s="1511"/>
      <c r="Q609" s="1511"/>
      <c r="R609" s="1511"/>
      <c r="T609" s="55" t="s">
        <v>363</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53">
        <f t="shared" si="1"/>
        <v>0</v>
      </c>
      <c r="BF609" s="1355"/>
      <c r="BG609" s="1393">
        <f t="shared" si="2"/>
        <v>0</v>
      </c>
      <c r="BH609" s="1394"/>
      <c r="BI609" s="1353">
        <f t="shared" si="3"/>
        <v>0</v>
      </c>
      <c r="BJ609" s="1355"/>
      <c r="BK609" s="1393">
        <f t="shared" si="4"/>
        <v>0</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53" t="str">
        <f t="shared" si="17"/>
        <v/>
      </c>
      <c r="DY609" s="1354"/>
      <c r="DZ609" s="1354"/>
      <c r="EA609" s="1354"/>
      <c r="EB609" s="1355"/>
      <c r="EC609" s="1353" t="str">
        <f t="shared" si="18"/>
        <v/>
      </c>
      <c r="ED609" s="1354"/>
      <c r="EE609" s="1354"/>
      <c r="EF609" s="1354"/>
      <c r="EG609" s="1355"/>
      <c r="EH609" s="1353" t="str">
        <f t="shared" si="19"/>
        <v/>
      </c>
      <c r="EI609" s="1354"/>
      <c r="EJ609" s="1354"/>
      <c r="EK609" s="1354"/>
      <c r="EL609" s="1355"/>
      <c r="EM609" s="1353" t="str">
        <f t="shared" si="20"/>
        <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53">
        <f t="shared" si="1"/>
        <v>0</v>
      </c>
      <c r="BF610" s="1355"/>
      <c r="BG610" s="1393">
        <f t="shared" si="2"/>
        <v>0</v>
      </c>
      <c r="BH610" s="1394"/>
      <c r="BI610" s="1353">
        <f t="shared" si="3"/>
        <v>0</v>
      </c>
      <c r="BJ610" s="1355"/>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t="str">
        <f t="shared" si="18"/>
        <v/>
      </c>
      <c r="ED610" s="1354"/>
      <c r="EE610" s="1354"/>
      <c r="EF610" s="1354"/>
      <c r="EG610" s="1355"/>
      <c r="EH610" s="1353" t="str">
        <f t="shared" si="19"/>
        <v/>
      </c>
      <c r="EI610" s="1354"/>
      <c r="EJ610" s="1354"/>
      <c r="EK610" s="1354"/>
      <c r="EL610" s="1355"/>
      <c r="EM610" s="1353" t="str">
        <f t="shared" si="20"/>
        <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2.95" customHeight="1">
      <c r="B611" t="s">
        <v>587</v>
      </c>
      <c r="G611" s="1432"/>
      <c r="H611" s="1432"/>
      <c r="I611" s="1432"/>
      <c r="J611" s="1432"/>
      <c r="K611" s="1432"/>
      <c r="L611" s="1432"/>
      <c r="M611" s="1432"/>
      <c r="N611" s="1432"/>
      <c r="O611" s="1432"/>
      <c r="P611" s="1432"/>
      <c r="Q611" s="1432"/>
      <c r="R611" s="1432"/>
      <c r="U611" t="s">
        <v>587</v>
      </c>
      <c r="Z611" s="1431"/>
      <c r="AA611" s="1431"/>
      <c r="AB611" s="1431"/>
      <c r="AC611" s="1431"/>
      <c r="AD611" s="1431"/>
      <c r="AE611" s="1431"/>
      <c r="AF611" s="1431"/>
      <c r="AG611" s="1431"/>
      <c r="AH611" s="1431"/>
      <c r="AI611" s="1431"/>
      <c r="AJ611" s="1431"/>
      <c r="AK611" s="1431"/>
      <c r="AZ611" s="3"/>
      <c r="BA611" s="3"/>
      <c r="BB611" s="3"/>
      <c r="BC611" s="3"/>
      <c r="BD611" s="3"/>
      <c r="BE611" s="1353">
        <f t="shared" si="1"/>
        <v>0</v>
      </c>
      <c r="BF611" s="1355"/>
      <c r="BG611" s="1393">
        <f t="shared" si="2"/>
        <v>0</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t="str">
        <f t="shared" si="19"/>
        <v/>
      </c>
      <c r="EI611" s="1354"/>
      <c r="EJ611" s="1354"/>
      <c r="EK611" s="1354"/>
      <c r="EL611" s="1355"/>
      <c r="EM611" s="1353" t="str">
        <f t="shared" si="20"/>
        <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53">
        <f t="shared" si="1"/>
        <v>0</v>
      </c>
      <c r="BF612" s="1355"/>
      <c r="BG612" s="1393">
        <f t="shared" si="2"/>
        <v>0</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t="str">
        <f t="shared" si="20"/>
        <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2.95" customHeight="1">
      <c r="B613" t="s">
        <v>316</v>
      </c>
      <c r="G613" s="1435"/>
      <c r="H613" s="1435"/>
      <c r="I613" s="1435"/>
      <c r="J613" s="1435"/>
      <c r="K613" s="1435"/>
      <c r="L613" s="1435"/>
      <c r="O613" s="33" t="s">
        <v>206</v>
      </c>
      <c r="P613" s="1419"/>
      <c r="Q613" s="1419"/>
      <c r="R613" s="1419"/>
      <c r="U613" t="s">
        <v>316</v>
      </c>
      <c r="Z613" s="1435"/>
      <c r="AA613" s="1435"/>
      <c r="AB613" s="1435"/>
      <c r="AC613" s="1435"/>
      <c r="AD613" s="1435"/>
      <c r="AE613" s="1435"/>
      <c r="AH613" s="33" t="s">
        <v>206</v>
      </c>
      <c r="AI613" s="1419"/>
      <c r="AJ613" s="1419"/>
      <c r="AK613" s="1419"/>
      <c r="AZ613" s="3"/>
      <c r="BA613" s="3"/>
      <c r="BB613" s="3"/>
      <c r="BC613" s="3"/>
      <c r="BD613" s="3"/>
      <c r="BE613" s="1353">
        <f t="shared" si="1"/>
        <v>0</v>
      </c>
      <c r="BF613" s="1355"/>
      <c r="BG613" s="1393">
        <f t="shared" si="2"/>
        <v>0</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53">
        <f t="shared" si="1"/>
        <v>0</v>
      </c>
      <c r="BF614" s="1355"/>
      <c r="BG614" s="1393">
        <f t="shared" si="2"/>
        <v>0</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5" customHeight="1">
      <c r="B615" t="s">
        <v>20</v>
      </c>
      <c r="N615" s="1418" t="s">
        <v>675</v>
      </c>
      <c r="O615" s="1418"/>
      <c r="U615" t="s">
        <v>20</v>
      </c>
      <c r="AG615" s="1418" t="s">
        <v>675</v>
      </c>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5"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5"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5" customHeight="1">
      <c r="A620" s="2" t="s">
        <v>319</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5"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5" customHeight="1">
      <c r="C622" s="2" t="s">
        <v>2415</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5"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5" customHeight="1">
      <c r="B624" s="1593" t="s">
        <v>2417</v>
      </c>
      <c r="C624" s="1593"/>
      <c r="D624" s="1593"/>
      <c r="E624" s="1593"/>
      <c r="F624" s="1593"/>
      <c r="G624" s="1593"/>
      <c r="H624" s="1593"/>
      <c r="I624" s="1593"/>
      <c r="J624" s="1593"/>
      <c r="K624" s="1593"/>
      <c r="L624" s="1593"/>
      <c r="M624" s="1696" t="s">
        <v>2418</v>
      </c>
      <c r="N624" s="1696"/>
      <c r="O624" s="1696"/>
      <c r="P624" s="1696"/>
      <c r="Q624" s="1696" t="s">
        <v>2039</v>
      </c>
      <c r="R624" s="1696"/>
      <c r="S624" s="1696"/>
      <c r="T624" s="1696" t="s">
        <v>2037</v>
      </c>
      <c r="U624" s="1696"/>
      <c r="V624" s="1696"/>
      <c r="W624" s="1843" t="s">
        <v>460</v>
      </c>
      <c r="X624" s="1843"/>
      <c r="Y624" s="1843"/>
      <c r="Z624" s="1409" t="s">
        <v>2447</v>
      </c>
      <c r="AA624" s="1409"/>
      <c r="AB624" s="1410"/>
      <c r="AC624" s="1705" t="s">
        <v>1860</v>
      </c>
      <c r="AD624" s="1706"/>
      <c r="AE624" s="1707"/>
      <c r="AF624" s="1408" t="s">
        <v>2226</v>
      </c>
      <c r="AG624" s="1409"/>
      <c r="AH624" s="1409"/>
      <c r="AI624" s="1409"/>
      <c r="AJ624" s="1410"/>
      <c r="AK624" s="1831" t="s">
        <v>2227</v>
      </c>
      <c r="AL624" s="1832"/>
      <c r="AM624" s="1832"/>
      <c r="AN624" s="1833"/>
      <c r="AO624" s="1696" t="s">
        <v>461</v>
      </c>
      <c r="AP624" s="1696"/>
      <c r="AQ624" s="1696"/>
      <c r="AR624" s="1696"/>
      <c r="AS624" s="1696"/>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5" customHeight="1">
      <c r="B625" s="1593"/>
      <c r="C625" s="1593"/>
      <c r="D625" s="1593"/>
      <c r="E625" s="1593"/>
      <c r="F625" s="1593"/>
      <c r="G625" s="1593"/>
      <c r="H625" s="1593"/>
      <c r="I625" s="1593"/>
      <c r="J625" s="1593"/>
      <c r="K625" s="1593"/>
      <c r="L625" s="1593"/>
      <c r="M625" s="1696"/>
      <c r="N625" s="1696"/>
      <c r="O625" s="1696"/>
      <c r="P625" s="1696"/>
      <c r="Q625" s="1696"/>
      <c r="R625" s="1696"/>
      <c r="S625" s="1696"/>
      <c r="T625" s="1696"/>
      <c r="U625" s="1696"/>
      <c r="V625" s="1696"/>
      <c r="W625" s="1843"/>
      <c r="X625" s="1843"/>
      <c r="Y625" s="1843"/>
      <c r="Z625" s="1412"/>
      <c r="AA625" s="1412"/>
      <c r="AB625" s="1413"/>
      <c r="AC625" s="1708"/>
      <c r="AD625" s="1709"/>
      <c r="AE625" s="1710"/>
      <c r="AF625" s="1411"/>
      <c r="AG625" s="1412"/>
      <c r="AH625" s="1412"/>
      <c r="AI625" s="1412"/>
      <c r="AJ625" s="1413"/>
      <c r="AK625" s="1834"/>
      <c r="AL625" s="1835"/>
      <c r="AM625" s="1835"/>
      <c r="AN625" s="1836"/>
      <c r="AO625" s="1696"/>
      <c r="AP625" s="1696"/>
      <c r="AQ625" s="1696"/>
      <c r="AR625" s="1696"/>
      <c r="AS625" s="1696"/>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5" customHeight="1">
      <c r="B626" s="1593"/>
      <c r="C626" s="1593"/>
      <c r="D626" s="1593"/>
      <c r="E626" s="1593"/>
      <c r="F626" s="1593"/>
      <c r="G626" s="1593"/>
      <c r="H626" s="1593"/>
      <c r="I626" s="1593"/>
      <c r="J626" s="1593"/>
      <c r="K626" s="1593"/>
      <c r="L626" s="1593"/>
      <c r="M626" s="1696"/>
      <c r="N626" s="1696"/>
      <c r="O626" s="1696"/>
      <c r="P626" s="1696"/>
      <c r="Q626" s="1696"/>
      <c r="R626" s="1696"/>
      <c r="S626" s="1696"/>
      <c r="T626" s="1696"/>
      <c r="U626" s="1696"/>
      <c r="V626" s="1696"/>
      <c r="W626" s="1843"/>
      <c r="X626" s="1843"/>
      <c r="Y626" s="1843"/>
      <c r="Z626" s="1442"/>
      <c r="AA626" s="1442"/>
      <c r="AB626" s="1443"/>
      <c r="AC626" s="1711"/>
      <c r="AD626" s="1712"/>
      <c r="AE626" s="1713"/>
      <c r="AF626" s="1441"/>
      <c r="AG626" s="1442"/>
      <c r="AH626" s="1442"/>
      <c r="AI626" s="1442"/>
      <c r="AJ626" s="1443"/>
      <c r="AK626" s="1837"/>
      <c r="AL626" s="1838"/>
      <c r="AM626" s="1838"/>
      <c r="AN626" s="1839"/>
      <c r="AO626" s="1696"/>
      <c r="AP626" s="1696"/>
      <c r="AQ626" s="1696"/>
      <c r="AR626" s="1696"/>
      <c r="AS626" s="1696"/>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5" customHeight="1">
      <c r="B627" s="51" t="s">
        <v>112</v>
      </c>
      <c r="C627" s="1700" t="s">
        <v>2715</v>
      </c>
      <c r="D627" s="1700"/>
      <c r="E627" s="1700"/>
      <c r="F627" s="1700"/>
      <c r="G627" s="1700"/>
      <c r="H627" s="1700"/>
      <c r="I627" s="1700"/>
      <c r="J627" s="1700"/>
      <c r="K627" s="1700"/>
      <c r="L627" s="1700"/>
      <c r="M627" s="1704" t="s">
        <v>2434</v>
      </c>
      <c r="N627" s="1704"/>
      <c r="O627" s="1704"/>
      <c r="P627" s="1704"/>
      <c r="Q627" s="1556">
        <v>360</v>
      </c>
      <c r="R627" s="1556"/>
      <c r="S627" s="1703"/>
      <c r="T627" s="1702">
        <v>480</v>
      </c>
      <c r="U627" s="1556"/>
      <c r="V627" s="1703"/>
      <c r="W627" s="1697">
        <v>0.06</v>
      </c>
      <c r="X627" s="1698"/>
      <c r="Y627" s="1699"/>
      <c r="Z627" s="1513" t="s">
        <v>2446</v>
      </c>
      <c r="AA627" s="1514"/>
      <c r="AB627" s="1515"/>
      <c r="AC627" s="1423">
        <v>1</v>
      </c>
      <c r="AD627" s="1424"/>
      <c r="AE627" s="1425"/>
      <c r="AF627" s="1586">
        <v>1162056</v>
      </c>
      <c r="AG627" s="1587"/>
      <c r="AH627" s="1587"/>
      <c r="AI627" s="1587"/>
      <c r="AJ627" s="1588"/>
      <c r="AK627" s="1714"/>
      <c r="AL627" s="1715"/>
      <c r="AM627" s="1715"/>
      <c r="AN627" s="1716"/>
      <c r="AO627" s="1613">
        <v>17600000</v>
      </c>
      <c r="AP627" s="1613"/>
      <c r="AQ627" s="1613"/>
      <c r="AR627" s="1613"/>
      <c r="AS627" s="1613"/>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5" customHeight="1">
      <c r="B628" s="52" t="s">
        <v>113</v>
      </c>
      <c r="C628" s="1700" t="s">
        <v>2740</v>
      </c>
      <c r="D628" s="1700"/>
      <c r="E628" s="1700"/>
      <c r="F628" s="1700"/>
      <c r="G628" s="1700"/>
      <c r="H628" s="1700"/>
      <c r="I628" s="1700"/>
      <c r="J628" s="1700"/>
      <c r="K628" s="1700"/>
      <c r="L628" s="1700"/>
      <c r="M628" s="1704" t="s">
        <v>2430</v>
      </c>
      <c r="N628" s="1704"/>
      <c r="O628" s="1704"/>
      <c r="P628" s="1704"/>
      <c r="Q628" s="1702">
        <v>660</v>
      </c>
      <c r="R628" s="1556"/>
      <c r="S628" s="1703"/>
      <c r="T628" s="1702"/>
      <c r="U628" s="1556"/>
      <c r="V628" s="1703"/>
      <c r="W628" s="1697">
        <v>0.03</v>
      </c>
      <c r="X628" s="1698"/>
      <c r="Y628" s="1699"/>
      <c r="Z628" s="1513" t="s">
        <v>464</v>
      </c>
      <c r="AA628" s="1514"/>
      <c r="AB628" s="1515"/>
      <c r="AC628" s="1423">
        <v>2</v>
      </c>
      <c r="AD628" s="1424"/>
      <c r="AE628" s="1425"/>
      <c r="AF628" s="1586">
        <v>116815</v>
      </c>
      <c r="AG628" s="1587"/>
      <c r="AH628" s="1587"/>
      <c r="AI628" s="1587"/>
      <c r="AJ628" s="1588"/>
      <c r="AK628" s="1714"/>
      <c r="AL628" s="1715"/>
      <c r="AM628" s="1715"/>
      <c r="AN628" s="1716"/>
      <c r="AO628" s="1581">
        <v>27813000</v>
      </c>
      <c r="AP628" s="1582"/>
      <c r="AQ628" s="1582"/>
      <c r="AR628" s="1582"/>
      <c r="AS628" s="1583"/>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5" customHeight="1">
      <c r="B629" s="52" t="s">
        <v>119</v>
      </c>
      <c r="C629" s="1700" t="s">
        <v>2769</v>
      </c>
      <c r="D629" s="1700"/>
      <c r="E629" s="1700"/>
      <c r="F629" s="1700"/>
      <c r="G629" s="1700"/>
      <c r="H629" s="1700"/>
      <c r="I629" s="1700"/>
      <c r="J629" s="1700"/>
      <c r="K629" s="1700"/>
      <c r="L629" s="1700"/>
      <c r="M629" s="1704" t="s">
        <v>2430</v>
      </c>
      <c r="N629" s="1704"/>
      <c r="O629" s="1704"/>
      <c r="P629" s="1704"/>
      <c r="Q629" s="1702">
        <v>660</v>
      </c>
      <c r="R629" s="1556"/>
      <c r="S629" s="1703"/>
      <c r="T629" s="1702"/>
      <c r="U629" s="1556"/>
      <c r="V629" s="1703"/>
      <c r="W629" s="1697">
        <v>0.03</v>
      </c>
      <c r="X629" s="1698"/>
      <c r="Y629" s="1699"/>
      <c r="Z629" s="1513" t="s">
        <v>464</v>
      </c>
      <c r="AA629" s="1514"/>
      <c r="AB629" s="1515"/>
      <c r="AC629" s="1423">
        <v>3</v>
      </c>
      <c r="AD629" s="1424"/>
      <c r="AE629" s="1425"/>
      <c r="AF629" s="1586"/>
      <c r="AG629" s="1587"/>
      <c r="AH629" s="1587"/>
      <c r="AI629" s="1587"/>
      <c r="AJ629" s="1588"/>
      <c r="AK629" s="1714"/>
      <c r="AL629" s="1715"/>
      <c r="AM629" s="1715"/>
      <c r="AN629" s="1716"/>
      <c r="AO629" s="1581">
        <v>5000000</v>
      </c>
      <c r="AP629" s="1582"/>
      <c r="AQ629" s="1582"/>
      <c r="AR629" s="1582"/>
      <c r="AS629" s="1583"/>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5" customHeight="1">
      <c r="B630" s="52" t="s">
        <v>588</v>
      </c>
      <c r="C630" s="1700" t="s">
        <v>2770</v>
      </c>
      <c r="D630" s="1701"/>
      <c r="E630" s="1701"/>
      <c r="F630" s="1701"/>
      <c r="G630" s="1701"/>
      <c r="H630" s="1701"/>
      <c r="I630" s="1701"/>
      <c r="J630" s="1701"/>
      <c r="K630" s="1701"/>
      <c r="L630" s="1701"/>
      <c r="M630" s="1704" t="s">
        <v>2430</v>
      </c>
      <c r="N630" s="1704"/>
      <c r="O630" s="1704"/>
      <c r="P630" s="1704"/>
      <c r="Q630" s="1702">
        <v>660</v>
      </c>
      <c r="R630" s="1556"/>
      <c r="S630" s="1703"/>
      <c r="T630" s="1702"/>
      <c r="U630" s="1556"/>
      <c r="V630" s="1703"/>
      <c r="W630" s="1697">
        <v>0.03</v>
      </c>
      <c r="X630" s="1698"/>
      <c r="Y630" s="1699"/>
      <c r="Z630" s="1513" t="s">
        <v>464</v>
      </c>
      <c r="AA630" s="1514"/>
      <c r="AB630" s="1515"/>
      <c r="AC630" s="1423">
        <v>4</v>
      </c>
      <c r="AD630" s="1424"/>
      <c r="AE630" s="1425"/>
      <c r="AF630" s="1586"/>
      <c r="AG630" s="1587"/>
      <c r="AH630" s="1587"/>
      <c r="AI630" s="1587"/>
      <c r="AJ630" s="1588"/>
      <c r="AK630" s="1714"/>
      <c r="AL630" s="1715"/>
      <c r="AM630" s="1715"/>
      <c r="AN630" s="1716"/>
      <c r="AO630" s="1581">
        <v>2187000</v>
      </c>
      <c r="AP630" s="1582"/>
      <c r="AQ630" s="1582"/>
      <c r="AR630" s="1582"/>
      <c r="AS630" s="1583"/>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5" customHeight="1">
      <c r="B631" s="52" t="s">
        <v>770</v>
      </c>
      <c r="C631" s="1700" t="s">
        <v>2660</v>
      </c>
      <c r="D631" s="1701"/>
      <c r="E631" s="1701"/>
      <c r="F631" s="1701"/>
      <c r="G631" s="1701"/>
      <c r="H631" s="1701"/>
      <c r="I631" s="1701"/>
      <c r="J631" s="1701"/>
      <c r="K631" s="1701"/>
      <c r="L631" s="1701"/>
      <c r="M631" s="1704" t="s">
        <v>2421</v>
      </c>
      <c r="N631" s="1704"/>
      <c r="O631" s="1704"/>
      <c r="P631" s="1704"/>
      <c r="Q631" s="1702">
        <v>156</v>
      </c>
      <c r="R631" s="1556"/>
      <c r="S631" s="1703"/>
      <c r="T631" s="1702"/>
      <c r="U631" s="1556"/>
      <c r="V631" s="1703"/>
      <c r="W631" s="1697">
        <v>9.9999999999999995E-8</v>
      </c>
      <c r="X631" s="1698"/>
      <c r="Y631" s="1699"/>
      <c r="Z631" s="1513" t="s">
        <v>464</v>
      </c>
      <c r="AA631" s="1514"/>
      <c r="AB631" s="1515"/>
      <c r="AC631" s="1423"/>
      <c r="AD631" s="1424"/>
      <c r="AE631" s="1425"/>
      <c r="AF631" s="1586"/>
      <c r="AG631" s="1587"/>
      <c r="AH631" s="1587"/>
      <c r="AI631" s="1587"/>
      <c r="AJ631" s="1588"/>
      <c r="AK631" s="1714"/>
      <c r="AL631" s="1715"/>
      <c r="AM631" s="1715"/>
      <c r="AN631" s="1716"/>
      <c r="AO631" s="1581">
        <v>12509768</v>
      </c>
      <c r="AP631" s="1582"/>
      <c r="AQ631" s="1582"/>
      <c r="AR631" s="1582"/>
      <c r="AS631" s="1583"/>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5" customHeight="1">
      <c r="B632" s="52" t="s">
        <v>591</v>
      </c>
      <c r="C632" s="1700" t="s">
        <v>2771</v>
      </c>
      <c r="D632" s="1701"/>
      <c r="E632" s="1701"/>
      <c r="F632" s="1701"/>
      <c r="G632" s="1701"/>
      <c r="H632" s="1701"/>
      <c r="I632" s="1701"/>
      <c r="J632" s="1701"/>
      <c r="K632" s="1701"/>
      <c r="L632" s="1701"/>
      <c r="M632" s="1704" t="s">
        <v>2442</v>
      </c>
      <c r="N632" s="1704"/>
      <c r="O632" s="1704"/>
      <c r="P632" s="1704"/>
      <c r="Q632" s="1702"/>
      <c r="R632" s="1556"/>
      <c r="S632" s="1703"/>
      <c r="T632" s="1702"/>
      <c r="U632" s="1556"/>
      <c r="V632" s="1703"/>
      <c r="W632" s="1697"/>
      <c r="X632" s="1698"/>
      <c r="Y632" s="1699"/>
      <c r="Z632" s="1513"/>
      <c r="AA632" s="1514"/>
      <c r="AB632" s="1515"/>
      <c r="AC632" s="1423"/>
      <c r="AD632" s="1424"/>
      <c r="AE632" s="1425"/>
      <c r="AF632" s="1586"/>
      <c r="AG632" s="1587"/>
      <c r="AH632" s="1587"/>
      <c r="AI632" s="1587"/>
      <c r="AJ632" s="1588"/>
      <c r="AK632" s="1714"/>
      <c r="AL632" s="1715"/>
      <c r="AM632" s="1715"/>
      <c r="AN632" s="1716"/>
      <c r="AO632" s="1581">
        <v>8250000</v>
      </c>
      <c r="AP632" s="1582"/>
      <c r="AQ632" s="1582"/>
      <c r="AR632" s="1582"/>
      <c r="AS632" s="1583"/>
      <c r="AT632" s="1192" t="str">
        <f t="shared" si="23"/>
        <v/>
      </c>
      <c r="AU632" s="3"/>
      <c r="AZ632" s="3"/>
      <c r="BA632" s="3"/>
      <c r="BB632" s="3"/>
      <c r="BC632" s="3"/>
      <c r="BD632" s="3"/>
      <c r="BE632" s="3"/>
      <c r="BF632" s="3"/>
      <c r="BG632" s="1353">
        <f>SUM(BG597:BH631)</f>
        <v>36</v>
      </c>
      <c r="BH632" s="1355"/>
      <c r="BI632" s="3"/>
      <c r="BJ632" s="3"/>
      <c r="BK632" s="1353">
        <f>SUM(BK597:BL631)</f>
        <v>38</v>
      </c>
      <c r="BL632" s="1355"/>
      <c r="BM632" s="3"/>
      <c r="BN632" s="1353">
        <f>SUM(BN597:BR631)</f>
        <v>22</v>
      </c>
      <c r="BO632" s="1354"/>
      <c r="BP632" s="1354"/>
      <c r="BQ632" s="1354"/>
      <c r="BR632" s="1355"/>
      <c r="BS632" s="1390">
        <f>SUM(BS597:BW631)</f>
        <v>10</v>
      </c>
      <c r="BT632" s="1390"/>
      <c r="BU632" s="1390"/>
      <c r="BV632" s="1390"/>
      <c r="BW632" s="1390"/>
      <c r="BX632" s="1390">
        <f>SUM(BX597:CB631)</f>
        <v>68</v>
      </c>
      <c r="BY632" s="1390"/>
      <c r="BZ632" s="1390"/>
      <c r="CA632" s="1390"/>
      <c r="CB632" s="1390"/>
      <c r="CC632" s="1390">
        <f>SUM(CC597:CG631)</f>
        <v>49</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6</v>
      </c>
      <c r="CT632" s="1390"/>
      <c r="CU632" s="1390"/>
      <c r="CV632" s="1390"/>
      <c r="CW632" s="1390"/>
      <c r="CX632" s="1390">
        <f>SUM(CX597:DB631)</f>
        <v>3</v>
      </c>
      <c r="CY632" s="1390"/>
      <c r="CZ632" s="1390"/>
      <c r="DA632" s="1390"/>
      <c r="DB632" s="1390"/>
      <c r="DC632" s="1390">
        <f>SUM(DC597:DG631)</f>
        <v>16</v>
      </c>
      <c r="DD632" s="1390"/>
      <c r="DE632" s="1390"/>
      <c r="DF632" s="1390"/>
      <c r="DG632" s="1390"/>
      <c r="DH632" s="1390">
        <f>SUM(DH597:DL631)</f>
        <v>13</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3619</v>
      </c>
      <c r="DY632" s="1390"/>
      <c r="DZ632" s="1390"/>
      <c r="EA632" s="1390"/>
      <c r="EB632" s="1390"/>
      <c r="EC632" s="1390">
        <f>SUM(EC597:EG631)</f>
        <v>3854</v>
      </c>
      <c r="ED632" s="1390"/>
      <c r="EE632" s="1390"/>
      <c r="EF632" s="1390"/>
      <c r="EG632" s="1390"/>
      <c r="EH632" s="1390">
        <f>SUM(EH597:EL631)</f>
        <v>4573</v>
      </c>
      <c r="EI632" s="1390"/>
      <c r="EJ632" s="1390"/>
      <c r="EK632" s="1390"/>
      <c r="EL632" s="1390"/>
      <c r="EM632" s="1390">
        <f>SUM(EM597:EQ631)</f>
        <v>5241</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462</v>
      </c>
      <c r="C633" s="1700"/>
      <c r="D633" s="1701"/>
      <c r="E633" s="1701"/>
      <c r="F633" s="1701"/>
      <c r="G633" s="1701"/>
      <c r="H633" s="1701"/>
      <c r="I633" s="1701"/>
      <c r="J633" s="1701"/>
      <c r="K633" s="1701"/>
      <c r="L633" s="1701"/>
      <c r="M633" s="1704"/>
      <c r="N633" s="1704"/>
      <c r="O633" s="1704"/>
      <c r="P633" s="1704"/>
      <c r="Q633" s="1702"/>
      <c r="R633" s="1556"/>
      <c r="S633" s="1703"/>
      <c r="T633" s="1702"/>
      <c r="U633" s="1556"/>
      <c r="V633" s="1703"/>
      <c r="W633" s="1697"/>
      <c r="X633" s="1698"/>
      <c r="Y633" s="1699"/>
      <c r="Z633" s="1513"/>
      <c r="AA633" s="1514"/>
      <c r="AB633" s="1515"/>
      <c r="AC633" s="1423"/>
      <c r="AD633" s="1424"/>
      <c r="AE633" s="1425"/>
      <c r="AF633" s="1586"/>
      <c r="AG633" s="1587"/>
      <c r="AH633" s="1587"/>
      <c r="AI633" s="1587"/>
      <c r="AJ633" s="1588"/>
      <c r="AK633" s="1714"/>
      <c r="AL633" s="1715"/>
      <c r="AM633" s="1715"/>
      <c r="AN633" s="1716"/>
      <c r="AO633" s="1581"/>
      <c r="AP633" s="1582"/>
      <c r="AQ633" s="1582"/>
      <c r="AR633" s="1582"/>
      <c r="AS633" s="158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53">
        <f>BN632+BS632+BX632+CC632+CH632+CM632</f>
        <v>149</v>
      </c>
      <c r="CN633" s="1354"/>
      <c r="CO633" s="1354"/>
      <c r="CP633" s="1354"/>
      <c r="CQ633" s="1355"/>
      <c r="CR633" s="385"/>
      <c r="CS633" s="3"/>
      <c r="CT633" s="3"/>
      <c r="CU633" s="3"/>
      <c r="CV633" s="3"/>
      <c r="CW633" s="3"/>
      <c r="CX633" s="3"/>
      <c r="CY633" s="3"/>
      <c r="CZ633" s="3"/>
      <c r="DA633" s="3"/>
      <c r="DB633" s="3"/>
      <c r="DC633" s="3"/>
      <c r="DD633" s="3"/>
      <c r="DE633" s="3"/>
      <c r="DF633" s="3"/>
    </row>
    <row r="634" spans="2:157" ht="12.95" customHeight="1">
      <c r="B634" s="52" t="s">
        <v>463</v>
      </c>
      <c r="C634" s="1701"/>
      <c r="D634" s="1701"/>
      <c r="E634" s="1701"/>
      <c r="F634" s="1701"/>
      <c r="G634" s="1701"/>
      <c r="H634" s="1701"/>
      <c r="I634" s="1701"/>
      <c r="J634" s="1701"/>
      <c r="K634" s="1701"/>
      <c r="L634" s="1701"/>
      <c r="M634" s="1704"/>
      <c r="N634" s="1704"/>
      <c r="O634" s="1704"/>
      <c r="P634" s="1704"/>
      <c r="Q634" s="1702"/>
      <c r="R634" s="1556"/>
      <c r="S634" s="1703"/>
      <c r="T634" s="1702"/>
      <c r="U634" s="1556"/>
      <c r="V634" s="1703"/>
      <c r="W634" s="1697"/>
      <c r="X634" s="1698"/>
      <c r="Y634" s="1699"/>
      <c r="Z634" s="1513"/>
      <c r="AA634" s="1514"/>
      <c r="AB634" s="1515"/>
      <c r="AC634" s="1423"/>
      <c r="AD634" s="1424"/>
      <c r="AE634" s="1425"/>
      <c r="AF634" s="1586"/>
      <c r="AG634" s="1587"/>
      <c r="AH634" s="1587"/>
      <c r="AI634" s="1587"/>
      <c r="AJ634" s="1588"/>
      <c r="AK634" s="1714"/>
      <c r="AL634" s="1715"/>
      <c r="AM634" s="1715"/>
      <c r="AN634" s="1716"/>
      <c r="AO634" s="1581"/>
      <c r="AP634" s="1582"/>
      <c r="AQ634" s="1582"/>
      <c r="AR634" s="1582"/>
      <c r="AS634" s="1583"/>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22</v>
      </c>
      <c r="BS634" s="3"/>
      <c r="BT634" s="3"/>
      <c r="BU634" s="3"/>
      <c r="BV634" s="3"/>
      <c r="BW634" s="895">
        <f>BS632*1</f>
        <v>10</v>
      </c>
      <c r="BX634" s="3"/>
      <c r="BY634" s="3"/>
      <c r="BZ634" s="3"/>
      <c r="CA634" s="3"/>
      <c r="CB634" s="895">
        <f>BX632*2</f>
        <v>136</v>
      </c>
      <c r="CC634" s="3"/>
      <c r="CD634" s="3"/>
      <c r="CE634" s="3"/>
      <c r="CF634" s="3"/>
      <c r="CG634" s="895">
        <f>CC632*3</f>
        <v>147</v>
      </c>
      <c r="CH634" s="3"/>
      <c r="CI634" s="3"/>
      <c r="CJ634" s="3"/>
      <c r="CK634" s="3"/>
      <c r="CL634" s="895">
        <f>CH632*4</f>
        <v>0</v>
      </c>
      <c r="CM634" s="3"/>
      <c r="CN634" s="3"/>
      <c r="CO634" s="3"/>
      <c r="CP634" s="3"/>
      <c r="CQ634" s="895">
        <f>CM632*5</f>
        <v>0</v>
      </c>
      <c r="CS634" s="895">
        <f>BR634+BW634+CB634+CG634+CL634+CQ634</f>
        <v>315</v>
      </c>
      <c r="CT634" s="57" t="s">
        <v>2049</v>
      </c>
      <c r="CU634" s="3"/>
      <c r="CV634" s="3"/>
      <c r="CW634" s="3"/>
      <c r="CX634" s="3"/>
      <c r="CY634" s="3"/>
      <c r="CZ634" s="3"/>
      <c r="DA634" s="3"/>
      <c r="DB634" s="3"/>
      <c r="DC634" s="3"/>
      <c r="DD634" s="3"/>
      <c r="DE634" s="3"/>
      <c r="DF634" s="3"/>
    </row>
    <row r="635" spans="2:157" ht="12.95" customHeight="1">
      <c r="B635" s="52" t="s">
        <v>468</v>
      </c>
      <c r="C635" s="1701"/>
      <c r="D635" s="1701"/>
      <c r="E635" s="1701"/>
      <c r="F635" s="1701"/>
      <c r="G635" s="1701"/>
      <c r="H635" s="1701"/>
      <c r="I635" s="1701"/>
      <c r="J635" s="1701"/>
      <c r="K635" s="1701"/>
      <c r="L635" s="1701"/>
      <c r="M635" s="1704"/>
      <c r="N635" s="1704"/>
      <c r="O635" s="1704"/>
      <c r="P635" s="1704"/>
      <c r="Q635" s="1702"/>
      <c r="R635" s="1556"/>
      <c r="S635" s="1703"/>
      <c r="T635" s="1702"/>
      <c r="U635" s="1556"/>
      <c r="V635" s="1703"/>
      <c r="W635" s="1697"/>
      <c r="X635" s="1698"/>
      <c r="Y635" s="1699"/>
      <c r="Z635" s="1513"/>
      <c r="AA635" s="1514"/>
      <c r="AB635" s="1515"/>
      <c r="AC635" s="1423"/>
      <c r="AD635" s="1424"/>
      <c r="AE635" s="1425"/>
      <c r="AF635" s="1586"/>
      <c r="AG635" s="1587"/>
      <c r="AH635" s="1587"/>
      <c r="AI635" s="1587"/>
      <c r="AJ635" s="1588"/>
      <c r="AK635" s="1714"/>
      <c r="AL635" s="1715"/>
      <c r="AM635" s="1715"/>
      <c r="AN635" s="1716"/>
      <c r="AO635" s="1581"/>
      <c r="AP635" s="1582"/>
      <c r="AQ635" s="1582"/>
      <c r="AR635" s="1582"/>
      <c r="AS635" s="1583"/>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f>DX597*(BN597/$BN$632)</f>
        <v>205.09090909090907</v>
      </c>
      <c r="DY635" s="1356"/>
      <c r="DZ635" s="1356"/>
      <c r="EA635" s="1356"/>
      <c r="EB635" s="1356"/>
      <c r="EC635" s="1356" t="e">
        <f t="shared" ref="EC635:EC657" si="24">EC597*(BS597/$BS$632)</f>
        <v>#VALUE!</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5" customHeight="1">
      <c r="B636" s="52" t="s">
        <v>652</v>
      </c>
      <c r="C636" s="1701"/>
      <c r="D636" s="1701"/>
      <c r="E636" s="1701"/>
      <c r="F636" s="1701"/>
      <c r="G636" s="1701"/>
      <c r="H636" s="1701"/>
      <c r="I636" s="1701"/>
      <c r="J636" s="1701"/>
      <c r="K636" s="1701"/>
      <c r="L636" s="1701"/>
      <c r="M636" s="1704"/>
      <c r="N636" s="1704"/>
      <c r="O636" s="1704"/>
      <c r="P636" s="1704"/>
      <c r="Q636" s="1702"/>
      <c r="R636" s="1556"/>
      <c r="S636" s="1703"/>
      <c r="T636" s="1702"/>
      <c r="U636" s="1556"/>
      <c r="V636" s="1703"/>
      <c r="W636" s="1697"/>
      <c r="X636" s="1698"/>
      <c r="Y636" s="1699"/>
      <c r="Z636" s="1513"/>
      <c r="AA636" s="1514"/>
      <c r="AB636" s="1515"/>
      <c r="AC636" s="1423"/>
      <c r="AD636" s="1424"/>
      <c r="AE636" s="1425"/>
      <c r="AF636" s="1586"/>
      <c r="AG636" s="1587"/>
      <c r="AH636" s="1587"/>
      <c r="AI636" s="1587"/>
      <c r="AJ636" s="1588"/>
      <c r="AK636" s="1714"/>
      <c r="AL636" s="1715"/>
      <c r="AM636" s="1715"/>
      <c r="AN636" s="1716"/>
      <c r="AO636" s="1581"/>
      <c r="AP636" s="1582"/>
      <c r="AQ636" s="1582"/>
      <c r="AR636" s="1582"/>
      <c r="AS636" s="1583"/>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f t="shared" ref="DX636:DX657" si="29">DX598*(BN598/$BN$632)</f>
        <v>353.72727272727269</v>
      </c>
      <c r="DY636" s="1356"/>
      <c r="DZ636" s="1356"/>
      <c r="EA636" s="1356"/>
      <c r="EB636" s="1356"/>
      <c r="EC636" s="1356" t="e">
        <f t="shared" si="24"/>
        <v>#VALUE!</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5" customHeight="1">
      <c r="B637" s="52" t="s">
        <v>362</v>
      </c>
      <c r="C637" s="1701"/>
      <c r="D637" s="1701"/>
      <c r="E637" s="1701"/>
      <c r="F637" s="1701"/>
      <c r="G637" s="1701"/>
      <c r="H637" s="1701"/>
      <c r="I637" s="1701"/>
      <c r="J637" s="1701"/>
      <c r="K637" s="1701"/>
      <c r="L637" s="1701"/>
      <c r="M637" s="1704"/>
      <c r="N637" s="1704"/>
      <c r="O637" s="1704"/>
      <c r="P637" s="1704"/>
      <c r="Q637" s="1702"/>
      <c r="R637" s="1556"/>
      <c r="S637" s="1703"/>
      <c r="T637" s="1702"/>
      <c r="U637" s="1556"/>
      <c r="V637" s="1703"/>
      <c r="W637" s="1697"/>
      <c r="X637" s="1698"/>
      <c r="Y637" s="1699"/>
      <c r="Z637" s="1513"/>
      <c r="AA637" s="1514"/>
      <c r="AB637" s="1515"/>
      <c r="AC637" s="1423"/>
      <c r="AD637" s="1424"/>
      <c r="AE637" s="1425"/>
      <c r="AF637" s="1586"/>
      <c r="AG637" s="1587"/>
      <c r="AH637" s="1587"/>
      <c r="AI637" s="1587"/>
      <c r="AJ637" s="1588"/>
      <c r="AK637" s="1714"/>
      <c r="AL637" s="1715"/>
      <c r="AM637" s="1715"/>
      <c r="AN637" s="1716"/>
      <c r="AO637" s="1581"/>
      <c r="AP637" s="1582"/>
      <c r="AQ637" s="1582"/>
      <c r="AR637" s="1582"/>
      <c r="AS637" s="1583"/>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1</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f t="shared" si="29"/>
        <v>713.63636363636363</v>
      </c>
      <c r="DY637" s="1356"/>
      <c r="DZ637" s="1356"/>
      <c r="EA637" s="1356"/>
      <c r="EB637" s="1356"/>
      <c r="EC637" s="1356" t="e">
        <f t="shared" si="24"/>
        <v>#VALUE!</v>
      </c>
      <c r="ED637" s="1356"/>
      <c r="EE637" s="1356"/>
      <c r="EF637" s="1356"/>
      <c r="EG637" s="1356"/>
      <c r="EH637" s="1356" t="e">
        <f t="shared" si="25"/>
        <v>#VALUE!</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5" customHeight="1">
      <c r="B638" s="52" t="s">
        <v>363</v>
      </c>
      <c r="C638" s="1701"/>
      <c r="D638" s="1701"/>
      <c r="E638" s="1701"/>
      <c r="F638" s="1701"/>
      <c r="G638" s="1701"/>
      <c r="H638" s="1701"/>
      <c r="I638" s="1701"/>
      <c r="J638" s="1701"/>
      <c r="K638" s="1701"/>
      <c r="L638" s="1701"/>
      <c r="M638" s="1704"/>
      <c r="N638" s="1704"/>
      <c r="O638" s="1704"/>
      <c r="P638" s="1704"/>
      <c r="Q638" s="1702"/>
      <c r="R638" s="1556"/>
      <c r="S638" s="1703"/>
      <c r="T638" s="1702"/>
      <c r="U638" s="1556"/>
      <c r="V638" s="1703"/>
      <c r="W638" s="1697"/>
      <c r="X638" s="1698"/>
      <c r="Y638" s="1699"/>
      <c r="Z638" s="1513"/>
      <c r="AA638" s="1514"/>
      <c r="AB638" s="1515"/>
      <c r="AC638" s="1423"/>
      <c r="AD638" s="1424"/>
      <c r="AE638" s="1425"/>
      <c r="AF638" s="1586"/>
      <c r="AG638" s="1587"/>
      <c r="AH638" s="1587"/>
      <c r="AI638" s="1587"/>
      <c r="AJ638" s="1588"/>
      <c r="AK638" s="1714"/>
      <c r="AL638" s="1715"/>
      <c r="AM638" s="1715"/>
      <c r="AN638" s="1716"/>
      <c r="AO638" s="1581"/>
      <c r="AP638" s="1582"/>
      <c r="AQ638" s="1582"/>
      <c r="AR638" s="1582"/>
      <c r="AS638" s="1583"/>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f t="shared" si="24"/>
        <v>239.39999999999998</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5"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73359768</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t="e">
        <f t="shared" si="29"/>
        <v>#VALUE!</v>
      </c>
      <c r="DY639" s="1356"/>
      <c r="DZ639" s="1356"/>
      <c r="EA639" s="1356"/>
      <c r="EB639" s="1356"/>
      <c r="EC639" s="1356">
        <f t="shared" si="24"/>
        <v>414.59999999999997</v>
      </c>
      <c r="ED639" s="1356"/>
      <c r="EE639" s="1356"/>
      <c r="EF639" s="1356"/>
      <c r="EG639" s="1356"/>
      <c r="EH639" s="1356" t="e">
        <f t="shared" si="25"/>
        <v>#VALUE!</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5" customHeight="1">
      <c r="B640" s="1595" t="s">
        <v>267</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81">
        <v>49255144</v>
      </c>
      <c r="AP640" s="1582"/>
      <c r="AQ640" s="1582"/>
      <c r="AR640" s="1582"/>
      <c r="AS640" s="1583"/>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t="e">
        <f t="shared" si="29"/>
        <v>#VALUE!</v>
      </c>
      <c r="DY640" s="1356"/>
      <c r="DZ640" s="1356"/>
      <c r="EA640" s="1356"/>
      <c r="EB640" s="1356"/>
      <c r="EC640" s="1356">
        <f t="shared" si="24"/>
        <v>669.6</v>
      </c>
      <c r="ED640" s="1356"/>
      <c r="EE640" s="1356"/>
      <c r="EF640" s="1356"/>
      <c r="EG640" s="1356"/>
      <c r="EH640" s="1356" t="e">
        <f t="shared" si="25"/>
        <v>#VALUE!</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5" customHeight="1">
      <c r="B641" s="1841" t="s">
        <v>268</v>
      </c>
      <c r="C641" s="1720"/>
      <c r="D641" s="1720"/>
      <c r="E641" s="1720"/>
      <c r="F641" s="1720"/>
      <c r="G641" s="1720"/>
      <c r="H641" s="1720"/>
      <c r="I641" s="1720"/>
      <c r="J641" s="1720"/>
      <c r="K641" s="1720"/>
      <c r="L641" s="1720"/>
      <c r="M641" s="1720"/>
      <c r="N641" s="1720"/>
      <c r="O641" s="1720"/>
      <c r="P641" s="1720"/>
      <c r="Q641" s="1720"/>
      <c r="R641" s="1720"/>
      <c r="S641" s="1720"/>
      <c r="T641" s="1720"/>
      <c r="U641" s="1720"/>
      <c r="V641" s="1720"/>
      <c r="W641" s="1720"/>
      <c r="X641" s="1720"/>
      <c r="Y641" s="1720"/>
      <c r="Z641" s="1720"/>
      <c r="AA641" s="1720"/>
      <c r="AB641" s="1720"/>
      <c r="AC641" s="1720"/>
      <c r="AD641" s="1720"/>
      <c r="AE641" s="1720"/>
      <c r="AF641" s="1720"/>
      <c r="AG641" s="1720"/>
      <c r="AH641" s="1720"/>
      <c r="AI641" s="1720"/>
      <c r="AJ641" s="1720"/>
      <c r="AK641" s="1720"/>
      <c r="AL641" s="1720"/>
      <c r="AM641" s="1720"/>
      <c r="AN641" s="1842"/>
      <c r="AO641" s="1590">
        <f>AO639+AO640</f>
        <v>122614912</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2"/>
      <c r="BP641" s="1512"/>
      <c r="BQ641" s="1512"/>
      <c r="BR641" s="1394"/>
      <c r="BS641" s="1717">
        <f>SUM(BS637:BW640)</f>
        <v>0</v>
      </c>
      <c r="BT641" s="1718"/>
      <c r="BU641" s="1718"/>
      <c r="BV641" s="1718"/>
      <c r="BW641" s="1719"/>
      <c r="BX641" s="1717">
        <f>SUM(BX637:CB640)</f>
        <v>1</v>
      </c>
      <c r="BY641" s="1718"/>
      <c r="BZ641" s="1718"/>
      <c r="CA641" s="1718"/>
      <c r="CB641" s="1719"/>
      <c r="CC641" s="1717">
        <f>SUM(CC637:CG640)</f>
        <v>0</v>
      </c>
      <c r="CD641" s="1718"/>
      <c r="CE641" s="1718"/>
      <c r="CF641" s="1718"/>
      <c r="CG641" s="1719"/>
      <c r="CH641" s="1717">
        <f>SUM(CH637:CL640)</f>
        <v>0</v>
      </c>
      <c r="CI641" s="1718"/>
      <c r="CJ641" s="1718"/>
      <c r="CK641" s="1718"/>
      <c r="CL641" s="1719"/>
      <c r="CM641" s="1717">
        <f>SUM(CM637:CQ640)</f>
        <v>0</v>
      </c>
      <c r="CN641" s="1718"/>
      <c r="CO641" s="1718"/>
      <c r="CP641" s="1718"/>
      <c r="CQ641" s="1719"/>
      <c r="CS641" s="895">
        <f>BN641+BS641+BX641+CC641+CH641+CM641</f>
        <v>1</v>
      </c>
      <c r="CT641" s="57" t="s">
        <v>2046</v>
      </c>
      <c r="CU641" s="3"/>
      <c r="CV641" s="3"/>
      <c r="CW641" s="3"/>
      <c r="CX641" s="3"/>
      <c r="CY641" s="3"/>
      <c r="CZ641" s="3"/>
      <c r="DA641" s="3"/>
      <c r="DB641" s="3"/>
      <c r="DC641" s="3"/>
      <c r="DD641" s="3"/>
      <c r="DE641" s="3"/>
      <c r="DF641" s="3"/>
      <c r="DX641" s="1356" t="e">
        <f t="shared" si="29"/>
        <v>#VALUE!</v>
      </c>
      <c r="DY641" s="1356"/>
      <c r="DZ641" s="1356"/>
      <c r="EA641" s="1356"/>
      <c r="EB641" s="1356"/>
      <c r="EC641" s="1356" t="e">
        <f t="shared" si="24"/>
        <v>#VALUE!</v>
      </c>
      <c r="ED641" s="1356"/>
      <c r="EE641" s="1356"/>
      <c r="EF641" s="1356"/>
      <c r="EG641" s="1356"/>
      <c r="EH641" s="1356">
        <f t="shared" si="25"/>
        <v>221.1764705882353</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2048</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f t="shared" si="25"/>
        <v>241.32352941176472</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5" customHeight="1">
      <c r="A643" s="55" t="s">
        <v>112</v>
      </c>
      <c r="B643" t="s">
        <v>470</v>
      </c>
      <c r="G643" s="1511" t="str">
        <f>C627</f>
        <v>Citibank, N.A.</v>
      </c>
      <c r="H643" s="1511"/>
      <c r="I643" s="1511"/>
      <c r="J643" s="1511"/>
      <c r="K643" s="1511"/>
      <c r="L643" s="1511"/>
      <c r="M643" s="1511"/>
      <c r="N643" s="1511"/>
      <c r="O643" s="1511"/>
      <c r="P643" s="1511"/>
      <c r="Q643" s="1511"/>
      <c r="R643" s="1511"/>
      <c r="S643" s="8"/>
      <c r="T643" s="55" t="s">
        <v>113</v>
      </c>
      <c r="U643" t="s">
        <v>470</v>
      </c>
      <c r="Z643" s="1511" t="str">
        <f>C628</f>
        <v>HCD - AHSC Loan</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f t="shared" si="25"/>
        <v>1230.3529411764707</v>
      </c>
      <c r="EI643" s="1356"/>
      <c r="EJ643" s="1356"/>
      <c r="EK643" s="1356"/>
      <c r="EL643" s="1356"/>
      <c r="EM643" s="1356" t="e">
        <f t="shared" si="26"/>
        <v>#VALUE!</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5" customHeight="1">
      <c r="A644" s="22"/>
      <c r="B644" t="s">
        <v>85</v>
      </c>
      <c r="G644" s="1432" t="s">
        <v>2717</v>
      </c>
      <c r="H644" s="1432"/>
      <c r="I644" s="1432"/>
      <c r="J644" s="1432"/>
      <c r="K644" s="1432"/>
      <c r="L644" s="1432"/>
      <c r="M644" s="1432"/>
      <c r="N644" s="1432"/>
      <c r="O644" s="1432"/>
      <c r="P644" s="1432"/>
      <c r="Q644" s="1432"/>
      <c r="R644" s="1432"/>
      <c r="S644" s="8"/>
      <c r="T644" s="22"/>
      <c r="U644" t="s">
        <v>85</v>
      </c>
      <c r="Z644" s="1432" t="s">
        <v>2772</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t="e">
        <f t="shared" si="25"/>
        <v>#VALUE!</v>
      </c>
      <c r="EI644" s="1356"/>
      <c r="EJ644" s="1356"/>
      <c r="EK644" s="1356"/>
      <c r="EL644" s="1356"/>
      <c r="EM644" s="1356">
        <f t="shared" si="26"/>
        <v>284.40816326530614</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5" customHeight="1">
      <c r="A645" s="22"/>
      <c r="B645" t="s">
        <v>587</v>
      </c>
      <c r="G645" s="1432" t="s">
        <v>2718</v>
      </c>
      <c r="H645" s="1432"/>
      <c r="I645" s="1432"/>
      <c r="J645" s="1432"/>
      <c r="K645" s="1432"/>
      <c r="L645" s="1432"/>
      <c r="M645" s="1432"/>
      <c r="N645" s="1432"/>
      <c r="O645" s="1432"/>
      <c r="P645" s="1432"/>
      <c r="Q645" s="1432"/>
      <c r="R645" s="1432"/>
      <c r="T645" s="22"/>
      <c r="U645" t="s">
        <v>587</v>
      </c>
      <c r="Z645" s="1431" t="s">
        <v>2773</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t="e">
        <f t="shared" si="24"/>
        <v>#VALUE!</v>
      </c>
      <c r="ED645" s="1356"/>
      <c r="EE645" s="1356"/>
      <c r="EF645" s="1356"/>
      <c r="EG645" s="1356"/>
      <c r="EH645" s="1356" t="e">
        <f t="shared" si="25"/>
        <v>#VALUE!</v>
      </c>
      <c r="EI645" s="1356"/>
      <c r="EJ645" s="1356"/>
      <c r="EK645" s="1356"/>
      <c r="EL645" s="1356"/>
      <c r="EM645" s="1356">
        <f t="shared" si="26"/>
        <v>652.9387755102041</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5" customHeight="1">
      <c r="A646" s="22"/>
      <c r="B646" t="s">
        <v>17</v>
      </c>
      <c r="G646" s="1432" t="s">
        <v>2719</v>
      </c>
      <c r="H646" s="1432"/>
      <c r="I646" s="1432"/>
      <c r="J646" s="1432"/>
      <c r="K646" s="1432"/>
      <c r="L646" s="1432"/>
      <c r="M646" s="1432"/>
      <c r="N646" s="1432"/>
      <c r="O646" s="1432"/>
      <c r="P646" s="1432"/>
      <c r="Q646" s="1432"/>
      <c r="R646" s="1432"/>
      <c r="S646" s="8"/>
      <c r="T646" s="22"/>
      <c r="U646" t="s">
        <v>17</v>
      </c>
      <c r="Z646" s="1431" t="s">
        <v>2781</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f t="shared" si="26"/>
        <v>886.79591836734687</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5" customHeight="1">
      <c r="A647" s="22"/>
      <c r="B647" t="s">
        <v>316</v>
      </c>
      <c r="G647" s="1510" t="s">
        <v>2720</v>
      </c>
      <c r="H647" s="1435"/>
      <c r="I647" s="1435"/>
      <c r="J647" s="1435"/>
      <c r="K647" s="1435"/>
      <c r="L647" s="1435"/>
      <c r="O647" s="33" t="s">
        <v>206</v>
      </c>
      <c r="P647" s="1419"/>
      <c r="Q647" s="1419"/>
      <c r="R647" s="1419"/>
      <c r="S647" s="10"/>
      <c r="T647" s="22"/>
      <c r="U647" t="s">
        <v>316</v>
      </c>
      <c r="Z647" s="1510" t="s">
        <v>2782</v>
      </c>
      <c r="AA647" s="1435"/>
      <c r="AB647" s="1435"/>
      <c r="AC647" s="1435"/>
      <c r="AD647" s="1435"/>
      <c r="AE647" s="1435"/>
      <c r="AH647" s="33" t="s">
        <v>206</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2.95" customHeight="1">
      <c r="A648" s="22"/>
      <c r="B648" t="s">
        <v>18</v>
      </c>
      <c r="H648" s="1432" t="s">
        <v>2725</v>
      </c>
      <c r="I648" s="1432"/>
      <c r="J648" s="1432"/>
      <c r="K648" s="1432"/>
      <c r="L648" s="1432"/>
      <c r="M648" s="1432"/>
      <c r="N648" s="1432"/>
      <c r="O648" s="1432"/>
      <c r="P648" s="1432"/>
      <c r="Q648" s="1432"/>
      <c r="R648" s="1432"/>
      <c r="S648" s="8"/>
      <c r="T648" s="22"/>
      <c r="U648" t="s">
        <v>18</v>
      </c>
      <c r="AA648" s="1432" t="s">
        <v>2741</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2.95" customHeight="1">
      <c r="A649" s="22"/>
      <c r="B649" t="s">
        <v>20</v>
      </c>
      <c r="N649" s="1418" t="s">
        <v>552</v>
      </c>
      <c r="O649" s="1418"/>
      <c r="T649" s="22"/>
      <c r="U649" t="s">
        <v>20</v>
      </c>
      <c r="AG649" s="1418" t="s">
        <v>552</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t="e">
        <f t="shared" si="26"/>
        <v>#VALUE!</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2.95" customHeight="1">
      <c r="A651" s="55" t="s">
        <v>119</v>
      </c>
      <c r="B651" t="s">
        <v>470</v>
      </c>
      <c r="G651" s="1511" t="str">
        <f>C629</f>
        <v>HCD - IIG Loan</v>
      </c>
      <c r="H651" s="1511"/>
      <c r="I651" s="1511"/>
      <c r="J651" s="1511"/>
      <c r="K651" s="1511"/>
      <c r="L651" s="1511"/>
      <c r="M651" s="1511"/>
      <c r="N651" s="1511"/>
      <c r="O651" s="1511"/>
      <c r="P651" s="1511"/>
      <c r="Q651" s="1511"/>
      <c r="R651" s="1511"/>
      <c r="T651" s="55" t="s">
        <v>588</v>
      </c>
      <c r="U651" t="s">
        <v>470</v>
      </c>
      <c r="Z651" s="1511" t="str">
        <f>C630</f>
        <v>City of Richmond - City Loan</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5" customHeight="1">
      <c r="A652" s="22"/>
      <c r="B652" t="s">
        <v>85</v>
      </c>
      <c r="G652" s="1432" t="s">
        <v>2772</v>
      </c>
      <c r="H652" s="1432"/>
      <c r="I652" s="1432"/>
      <c r="J652" s="1432"/>
      <c r="K652" s="1432"/>
      <c r="L652" s="1432"/>
      <c r="M652" s="1432"/>
      <c r="N652" s="1432"/>
      <c r="O652" s="1432"/>
      <c r="P652" s="1432"/>
      <c r="Q652" s="1432"/>
      <c r="R652" s="1432"/>
      <c r="T652" s="22"/>
      <c r="U652" t="s">
        <v>85</v>
      </c>
      <c r="Z652" s="1432" t="s">
        <v>2777</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5" customHeight="1">
      <c r="A653" s="22"/>
      <c r="B653" t="s">
        <v>587</v>
      </c>
      <c r="G653" s="1431" t="s">
        <v>2773</v>
      </c>
      <c r="H653" s="1431"/>
      <c r="I653" s="1431"/>
      <c r="J653" s="1431"/>
      <c r="K653" s="1431"/>
      <c r="L653" s="1431"/>
      <c r="M653" s="1431"/>
      <c r="N653" s="1431"/>
      <c r="O653" s="1431"/>
      <c r="P653" s="1431"/>
      <c r="Q653" s="1431"/>
      <c r="R653" s="1431"/>
      <c r="T653" s="22"/>
      <c r="U653" t="s">
        <v>587</v>
      </c>
      <c r="Z653" s="1431" t="s">
        <v>2762</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5" customHeight="1">
      <c r="A654" s="22"/>
      <c r="B654" t="s">
        <v>17</v>
      </c>
      <c r="G654" s="1431" t="s">
        <v>2774</v>
      </c>
      <c r="H654" s="1431"/>
      <c r="I654" s="1431"/>
      <c r="J654" s="1431"/>
      <c r="K654" s="1431"/>
      <c r="L654" s="1431"/>
      <c r="M654" s="1431"/>
      <c r="N654" s="1431"/>
      <c r="O654" s="1431"/>
      <c r="P654" s="1431"/>
      <c r="Q654" s="1431"/>
      <c r="R654" s="1431"/>
      <c r="T654" s="22"/>
      <c r="U654" t="s">
        <v>17</v>
      </c>
      <c r="Z654" s="1431" t="s">
        <v>2778</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5" customHeight="1">
      <c r="A655" s="22"/>
      <c r="B655" t="s">
        <v>316</v>
      </c>
      <c r="G655" s="1510" t="s">
        <v>2775</v>
      </c>
      <c r="H655" s="1435"/>
      <c r="I655" s="1435"/>
      <c r="J655" s="1435"/>
      <c r="K655" s="1435"/>
      <c r="L655" s="1435"/>
      <c r="O655" s="33" t="s">
        <v>206</v>
      </c>
      <c r="P655" s="1419"/>
      <c r="Q655" s="1419"/>
      <c r="R655" s="1419"/>
      <c r="T655" s="22"/>
      <c r="U655" t="s">
        <v>316</v>
      </c>
      <c r="Z655" s="1510" t="s">
        <v>2779</v>
      </c>
      <c r="AA655" s="1435"/>
      <c r="AB655" s="1435"/>
      <c r="AC655" s="1435"/>
      <c r="AD655" s="1435"/>
      <c r="AE655" s="1435"/>
      <c r="AH655" s="33" t="s">
        <v>206</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2"/>
      <c r="BP655" s="1512"/>
      <c r="BQ655" s="1512"/>
      <c r="BR655" s="1394"/>
      <c r="BS655" s="1717">
        <f>SUM(BS645:BW654)</f>
        <v>0</v>
      </c>
      <c r="BT655" s="1718"/>
      <c r="BU655" s="1718"/>
      <c r="BV655" s="1718"/>
      <c r="BW655" s="1719"/>
      <c r="BX655" s="1717">
        <f>SUM(BX645:CB654)</f>
        <v>0</v>
      </c>
      <c r="BY655" s="1718"/>
      <c r="BZ655" s="1718"/>
      <c r="CA655" s="1718"/>
      <c r="CB655" s="1719"/>
      <c r="CC655" s="1717">
        <f>SUM(CC645:CG654)</f>
        <v>0</v>
      </c>
      <c r="CD655" s="1718"/>
      <c r="CE655" s="1718"/>
      <c r="CF655" s="1718"/>
      <c r="CG655" s="1719"/>
      <c r="CH655" s="1717">
        <f>SUM(CH645:CL654)</f>
        <v>0</v>
      </c>
      <c r="CI655" s="1718"/>
      <c r="CJ655" s="1718"/>
      <c r="CK655" s="1718"/>
      <c r="CL655" s="1719"/>
      <c r="CM655" s="1717">
        <f>SUM(CM645:CQ654)</f>
        <v>0</v>
      </c>
      <c r="CN655" s="1718"/>
      <c r="CO655" s="1718"/>
      <c r="CP655" s="1718"/>
      <c r="CQ655" s="1719"/>
      <c r="CR655" s="1047"/>
      <c r="CS655" s="1606">
        <f>SUM(CS645:CW654)</f>
        <v>0</v>
      </c>
      <c r="CT655" s="1606"/>
      <c r="CU655" s="1606"/>
      <c r="CV655" s="1606"/>
      <c r="CW655" s="1606"/>
      <c r="CX655" s="1606">
        <f>SUM(CX645:DB654)</f>
        <v>0</v>
      </c>
      <c r="CY655" s="1606"/>
      <c r="CZ655" s="1606"/>
      <c r="DA655" s="1606"/>
      <c r="DB655" s="1606"/>
      <c r="DC655" s="1606">
        <f>SUM(DC645:DG654)</f>
        <v>0</v>
      </c>
      <c r="DD655" s="1606"/>
      <c r="DE655" s="1606"/>
      <c r="DF655" s="1606"/>
      <c r="DG655" s="1606"/>
      <c r="DH655" s="1606">
        <f>SUM(DH645:DL654)</f>
        <v>0</v>
      </c>
      <c r="DI655" s="1606"/>
      <c r="DJ655" s="1606"/>
      <c r="DK655" s="1606"/>
      <c r="DL655" s="1606"/>
      <c r="DM655" s="1606">
        <f>SUM(DM645:DQ654)</f>
        <v>0</v>
      </c>
      <c r="DN655" s="1606"/>
      <c r="DO655" s="1606"/>
      <c r="DP655" s="1606"/>
      <c r="DQ655" s="1606"/>
      <c r="DR655" s="1606">
        <f>SUM(DR645:DV654)</f>
        <v>0</v>
      </c>
      <c r="DS655" s="1606"/>
      <c r="DT655" s="1606"/>
      <c r="DU655" s="1606"/>
      <c r="DV655" s="1606"/>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5" customHeight="1">
      <c r="A656" s="22"/>
      <c r="B656" t="s">
        <v>18</v>
      </c>
      <c r="H656" s="1432" t="s">
        <v>2776</v>
      </c>
      <c r="I656" s="1432"/>
      <c r="J656" s="1432"/>
      <c r="K656" s="1432"/>
      <c r="L656" s="1432"/>
      <c r="M656" s="1432"/>
      <c r="N656" s="1432"/>
      <c r="O656" s="1432"/>
      <c r="P656" s="1432"/>
      <c r="Q656" s="1432"/>
      <c r="R656" s="1432"/>
      <c r="T656" s="22"/>
      <c r="U656" t="s">
        <v>18</v>
      </c>
      <c r="AA656" s="1432" t="s">
        <v>2783</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5" customHeight="1">
      <c r="A657" s="22"/>
      <c r="B657" t="s">
        <v>20</v>
      </c>
      <c r="N657" s="1418" t="s">
        <v>552</v>
      </c>
      <c r="O657" s="1418"/>
      <c r="T657" s="22"/>
      <c r="U657" t="s">
        <v>20</v>
      </c>
      <c r="AG657" s="1418" t="s">
        <v>552</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5" customHeight="1">
      <c r="A659" s="55" t="s">
        <v>770</v>
      </c>
      <c r="B659" t="s">
        <v>470</v>
      </c>
      <c r="G659" s="1511" t="str">
        <f>C631</f>
        <v>Pacific West Communities, Inc.</v>
      </c>
      <c r="H659" s="1511"/>
      <c r="I659" s="1511"/>
      <c r="J659" s="1511"/>
      <c r="K659" s="1511"/>
      <c r="L659" s="1511"/>
      <c r="M659" s="1511"/>
      <c r="N659" s="1511"/>
      <c r="O659" s="1511"/>
      <c r="P659" s="1511"/>
      <c r="Q659" s="1511"/>
      <c r="R659" s="1511"/>
      <c r="T659" s="55" t="s">
        <v>591</v>
      </c>
      <c r="U659" t="s">
        <v>470</v>
      </c>
      <c r="Z659" s="1511" t="str">
        <f>C632</f>
        <v>City of Richmond - Value of Ground Lease</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5" customHeight="1">
      <c r="A660" s="22"/>
      <c r="B660" t="s">
        <v>85</v>
      </c>
      <c r="G660" s="1432" t="s">
        <v>2644</v>
      </c>
      <c r="H660" s="1432"/>
      <c r="I660" s="1432"/>
      <c r="J660" s="1432"/>
      <c r="K660" s="1432"/>
      <c r="L660" s="1432"/>
      <c r="M660" s="1432"/>
      <c r="N660" s="1432"/>
      <c r="O660" s="1432"/>
      <c r="P660" s="1432"/>
      <c r="Q660" s="1432"/>
      <c r="R660" s="1432"/>
      <c r="T660" s="22"/>
      <c r="U660" t="s">
        <v>85</v>
      </c>
      <c r="Z660" s="1432" t="s">
        <v>2777</v>
      </c>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7">
        <f>BN632+BN641+BN655</f>
        <v>22</v>
      </c>
      <c r="BO660" s="1718"/>
      <c r="BP660" s="1718"/>
      <c r="BQ660" s="1718"/>
      <c r="BR660" s="1719"/>
      <c r="BS660" s="1717">
        <f>BS632+BS641+BS655</f>
        <v>10</v>
      </c>
      <c r="BT660" s="1718"/>
      <c r="BU660" s="1718"/>
      <c r="BV660" s="1718"/>
      <c r="BW660" s="1719"/>
      <c r="BX660" s="1717">
        <f>BX632+BX641+BX655</f>
        <v>69</v>
      </c>
      <c r="BY660" s="1718"/>
      <c r="BZ660" s="1718"/>
      <c r="CA660" s="1718"/>
      <c r="CB660" s="1719"/>
      <c r="CC660" s="1717">
        <f>CC632+CC641+CC655</f>
        <v>49</v>
      </c>
      <c r="CD660" s="1718"/>
      <c r="CE660" s="1718"/>
      <c r="CF660" s="1718"/>
      <c r="CG660" s="1719"/>
      <c r="CH660" s="1717">
        <f>CH632+CH641+CH655</f>
        <v>0</v>
      </c>
      <c r="CI660" s="1718"/>
      <c r="CJ660" s="1718"/>
      <c r="CK660" s="1718"/>
      <c r="CL660" s="1719"/>
      <c r="CM660" s="1353">
        <f>CM655+CM641+CM632</f>
        <v>0</v>
      </c>
      <c r="CN660" s="1354"/>
      <c r="CO660" s="1354"/>
      <c r="CP660" s="1354"/>
      <c r="CQ660" s="1355"/>
      <c r="CR660" s="3"/>
      <c r="CS660" s="895">
        <f>CS634+CS658</f>
        <v>315</v>
      </c>
      <c r="CT660" s="57" t="s">
        <v>2050</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5" customHeight="1">
      <c r="A661" s="22"/>
      <c r="B661" t="s">
        <v>587</v>
      </c>
      <c r="G661" s="1432" t="s">
        <v>2667</v>
      </c>
      <c r="H661" s="1432"/>
      <c r="I661" s="1432"/>
      <c r="J661" s="1432"/>
      <c r="K661" s="1432"/>
      <c r="L661" s="1432"/>
      <c r="M661" s="1432"/>
      <c r="N661" s="1432"/>
      <c r="O661" s="1432"/>
      <c r="P661" s="1432"/>
      <c r="Q661" s="1432"/>
      <c r="R661" s="1432"/>
      <c r="T661" s="22"/>
      <c r="U661" t="s">
        <v>587</v>
      </c>
      <c r="Z661" s="1431" t="s">
        <v>2762</v>
      </c>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5" customHeight="1">
      <c r="A662" s="22"/>
      <c r="B662" t="s">
        <v>17</v>
      </c>
      <c r="G662" s="1432" t="s">
        <v>2642</v>
      </c>
      <c r="H662" s="1432"/>
      <c r="I662" s="1432"/>
      <c r="J662" s="1432"/>
      <c r="K662" s="1432"/>
      <c r="L662" s="1432"/>
      <c r="M662" s="1432"/>
      <c r="N662" s="1432"/>
      <c r="O662" s="1432"/>
      <c r="P662" s="1432"/>
      <c r="Q662" s="1432"/>
      <c r="R662" s="1432"/>
      <c r="T662" s="22"/>
      <c r="U662" t="s">
        <v>17</v>
      </c>
      <c r="Z662" s="1431" t="s">
        <v>2778</v>
      </c>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5" customHeight="1">
      <c r="A663" s="22"/>
      <c r="B663" t="s">
        <v>316</v>
      </c>
      <c r="G663" s="1510" t="s">
        <v>2646</v>
      </c>
      <c r="H663" s="1435"/>
      <c r="I663" s="1435"/>
      <c r="J663" s="1435"/>
      <c r="K663" s="1435"/>
      <c r="L663" s="1435"/>
      <c r="O663" s="33" t="s">
        <v>206</v>
      </c>
      <c r="P663" s="1419">
        <v>3015</v>
      </c>
      <c r="Q663" s="1419"/>
      <c r="R663" s="1419"/>
      <c r="T663" s="22"/>
      <c r="U663" t="s">
        <v>316</v>
      </c>
      <c r="Z663" s="1510" t="s">
        <v>2779</v>
      </c>
      <c r="AA663" s="1435"/>
      <c r="AB663" s="1435"/>
      <c r="AC663" s="1435"/>
      <c r="AD663" s="1435"/>
      <c r="AE663" s="1435"/>
      <c r="AH663" s="33" t="s">
        <v>206</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5" customHeight="1">
      <c r="A664" s="22"/>
      <c r="B664" t="s">
        <v>18</v>
      </c>
      <c r="H664" s="1432" t="s">
        <v>1846</v>
      </c>
      <c r="I664" s="1432"/>
      <c r="J664" s="1432"/>
      <c r="K664" s="1432"/>
      <c r="L664" s="1432"/>
      <c r="M664" s="1432"/>
      <c r="N664" s="1432"/>
      <c r="O664" s="1432"/>
      <c r="P664" s="1432"/>
      <c r="Q664" s="1432"/>
      <c r="R664" s="1432"/>
      <c r="T664" s="22"/>
      <c r="U664" t="s">
        <v>18</v>
      </c>
      <c r="AA664" s="1432" t="s">
        <v>2780</v>
      </c>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5" customHeight="1">
      <c r="A665" s="22"/>
      <c r="B665" t="s">
        <v>20</v>
      </c>
      <c r="N665" s="1418" t="s">
        <v>552</v>
      </c>
      <c r="O665" s="1418"/>
      <c r="T665" s="22"/>
      <c r="U665" t="s">
        <v>20</v>
      </c>
      <c r="AG665" s="1418" t="s">
        <v>552</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5" customHeight="1">
      <c r="A667" s="55" t="s">
        <v>462</v>
      </c>
      <c r="B667" t="s">
        <v>470</v>
      </c>
      <c r="G667" s="1511">
        <f>C633</f>
        <v>0</v>
      </c>
      <c r="H667" s="1511"/>
      <c r="I667" s="1511"/>
      <c r="J667" s="1511"/>
      <c r="K667" s="1511"/>
      <c r="L667" s="1511"/>
      <c r="M667" s="1511"/>
      <c r="N667" s="1511"/>
      <c r="O667" s="1511"/>
      <c r="P667" s="1511"/>
      <c r="Q667" s="1511"/>
      <c r="R667" s="1511"/>
      <c r="T667" s="55" t="s">
        <v>463</v>
      </c>
      <c r="U667" t="s">
        <v>470</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2724</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2724</v>
      </c>
      <c r="BB668" s="3"/>
      <c r="BC668" s="3"/>
      <c r="BD668" s="3"/>
      <c r="BE668" s="3"/>
      <c r="BF668" s="218"/>
      <c r="BG668" s="315">
        <f t="shared" ref="BG668:BG700" si="49">G718</f>
        <v>6</v>
      </c>
      <c r="BH668" s="319">
        <f t="shared" ref="BH668:BH702" si="50">IF($BG$703=0,0,BG668/$BG$703)</f>
        <v>4.0268456375838924E-2</v>
      </c>
      <c r="BI668" s="320">
        <f t="shared" ref="BI668:BI691" si="51">IF(BH668=0,"",BH668*AC718)</f>
        <v>1.2080536912751677E-2</v>
      </c>
      <c r="BJ668" s="3"/>
      <c r="BK668" s="3"/>
      <c r="BL668" s="3"/>
      <c r="BM668" s="3"/>
      <c r="BN668" s="3"/>
      <c r="BO668" s="3"/>
      <c r="BT668" s="315">
        <f t="shared" ref="BT668:BT700" si="52">G718</f>
        <v>6</v>
      </c>
      <c r="BU668" s="319">
        <f t="shared" ref="BU668:BU702" si="53">IF($BT$703=0,0,BT668/$BT$703)</f>
        <v>4.0268456375838924E-2</v>
      </c>
      <c r="BV668" s="320">
        <f t="shared" ref="BV668:BV700" si="54">IF(BU668=0,"",BU668*AH718)</f>
        <v>1.2077580344735829E-2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5" customHeight="1">
      <c r="A669" s="22"/>
      <c r="B669" t="s">
        <v>587</v>
      </c>
      <c r="G669" s="1432"/>
      <c r="H669" s="1432"/>
      <c r="I669" s="1432"/>
      <c r="J669" s="1432"/>
      <c r="K669" s="1432"/>
      <c r="L669" s="1432"/>
      <c r="M669" s="1432"/>
      <c r="N669" s="1432"/>
      <c r="O669" s="1432"/>
      <c r="P669" s="1432"/>
      <c r="Q669" s="1432"/>
      <c r="R669" s="1432"/>
      <c r="T669" s="22"/>
      <c r="U669" t="s">
        <v>587</v>
      </c>
      <c r="Z669" s="1431"/>
      <c r="AA669" s="1431"/>
      <c r="AB669" s="1431"/>
      <c r="AC669" s="1431"/>
      <c r="AD669" s="1431"/>
      <c r="AE669" s="1431"/>
      <c r="AF669" s="1431"/>
      <c r="AG669" s="1431"/>
      <c r="AH669" s="1431"/>
      <c r="AI669" s="1431"/>
      <c r="AJ669" s="1431"/>
      <c r="AK669" s="1431"/>
      <c r="AZ669" s="3"/>
      <c r="BA669" s="118">
        <f t="shared" si="48"/>
        <v>2724</v>
      </c>
      <c r="BB669" s="3"/>
      <c r="BC669" s="3"/>
      <c r="BD669" s="3"/>
      <c r="BE669" s="3"/>
      <c r="BF669" s="218"/>
      <c r="BG669" s="316">
        <f t="shared" si="49"/>
        <v>6</v>
      </c>
      <c r="BH669" s="319">
        <f t="shared" si="50"/>
        <v>4.0268456375838924E-2</v>
      </c>
      <c r="BI669" s="320">
        <f t="shared" si="51"/>
        <v>2.0134228187919462E-2</v>
      </c>
      <c r="BJ669" s="3"/>
      <c r="BK669" s="3"/>
      <c r="BL669" s="3"/>
      <c r="BM669" s="3"/>
      <c r="BN669" s="3"/>
      <c r="BO669" s="3"/>
      <c r="BT669" s="316">
        <f t="shared" si="52"/>
        <v>6</v>
      </c>
      <c r="BU669" s="319">
        <f t="shared" si="53"/>
        <v>4.0268456375838924E-2</v>
      </c>
      <c r="BV669" s="320">
        <f t="shared" si="54"/>
        <v>2.0134228187919462E-2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2920</v>
      </c>
      <c r="BB670" s="3"/>
      <c r="BC670" s="3"/>
      <c r="BD670" s="3"/>
      <c r="BE670" s="3"/>
      <c r="BF670" s="218"/>
      <c r="BG670" s="316">
        <f t="shared" si="49"/>
        <v>10</v>
      </c>
      <c r="BH670" s="319">
        <f t="shared" si="50"/>
        <v>6.7114093959731544E-2</v>
      </c>
      <c r="BI670" s="320">
        <f t="shared" si="51"/>
        <v>4.0268456375838924E-2</v>
      </c>
      <c r="BJ670" s="3"/>
      <c r="BK670" s="3"/>
      <c r="BL670" s="3"/>
      <c r="BM670" s="3"/>
      <c r="BN670" s="3"/>
      <c r="BO670" s="3"/>
      <c r="BT670" s="316">
        <f t="shared" si="52"/>
        <v>10</v>
      </c>
      <c r="BU670" s="319">
        <f t="shared" si="53"/>
        <v>6.7114093959731544E-2</v>
      </c>
      <c r="BV670" s="320">
        <f t="shared" si="54"/>
        <v>4.0283239215918157E-2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1272.4545454545455</v>
      </c>
      <c r="DY670" s="1356"/>
      <c r="DZ670" s="1356"/>
      <c r="EA670" s="1356"/>
      <c r="EB670" s="1356"/>
      <c r="EC670" s="1356">
        <f>SUMIF(EC635:EG669,"&gt;0")</f>
        <v>1323.6</v>
      </c>
      <c r="ED670" s="1356"/>
      <c r="EE670" s="1356"/>
      <c r="EF670" s="1356"/>
      <c r="EG670" s="1356"/>
      <c r="EH670" s="1356">
        <f>SUMIF(EH635:EL669,"&gt;0")</f>
        <v>1692.8529411764707</v>
      </c>
      <c r="EI670" s="1356"/>
      <c r="EJ670" s="1356"/>
      <c r="EK670" s="1356"/>
      <c r="EL670" s="1356"/>
      <c r="EM670" s="1356">
        <f>SUMIF(EM635:EQ669,"&gt;0")</f>
        <v>1824.1428571428571</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2.95" customHeight="1">
      <c r="A671" s="22"/>
      <c r="B671" t="s">
        <v>316</v>
      </c>
      <c r="G671" s="1510"/>
      <c r="H671" s="1435"/>
      <c r="I671" s="1435"/>
      <c r="J671" s="1435"/>
      <c r="K671" s="1435"/>
      <c r="L671" s="1435"/>
      <c r="O671" s="33" t="s">
        <v>206</v>
      </c>
      <c r="P671" s="1419"/>
      <c r="Q671" s="1419"/>
      <c r="R671" s="1419"/>
      <c r="T671" s="22"/>
      <c r="U671" t="s">
        <v>316</v>
      </c>
      <c r="Z671" s="1435"/>
      <c r="AA671" s="1435"/>
      <c r="AB671" s="1435"/>
      <c r="AC671" s="1435"/>
      <c r="AD671" s="1435"/>
      <c r="AE671" s="1435"/>
      <c r="AH671" s="33" t="s">
        <v>206</v>
      </c>
      <c r="AI671" s="1419"/>
      <c r="AJ671" s="1419"/>
      <c r="AK671" s="1419"/>
      <c r="AZ671" s="3"/>
      <c r="BA671" s="118">
        <f t="shared" si="48"/>
        <v>2920</v>
      </c>
      <c r="BB671" s="3"/>
      <c r="BC671" s="3"/>
      <c r="BD671" s="3"/>
      <c r="BE671" s="3"/>
      <c r="BF671" s="218"/>
      <c r="BG671" s="316">
        <f t="shared" si="49"/>
        <v>3</v>
      </c>
      <c r="BH671" s="319">
        <f t="shared" si="50"/>
        <v>2.0134228187919462E-2</v>
      </c>
      <c r="BI671" s="320">
        <f t="shared" si="51"/>
        <v>6.0402684563758387E-3</v>
      </c>
      <c r="BJ671" s="3"/>
      <c r="BK671" s="3"/>
      <c r="BL671" s="3"/>
      <c r="BM671" s="3"/>
      <c r="BN671" s="3"/>
      <c r="BO671" s="3"/>
      <c r="BT671" s="316">
        <f t="shared" si="52"/>
        <v>3</v>
      </c>
      <c r="BU671" s="319">
        <f t="shared" si="53"/>
        <v>2.0134228187919462E-2</v>
      </c>
      <c r="BV671" s="320">
        <f t="shared" si="54"/>
        <v>6.0402684563758387E-3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2920</v>
      </c>
      <c r="BB672" s="3"/>
      <c r="BC672" s="3"/>
      <c r="BD672" s="3"/>
      <c r="BE672" s="3"/>
      <c r="BF672" s="218"/>
      <c r="BG672" s="316">
        <f t="shared" si="49"/>
        <v>3</v>
      </c>
      <c r="BH672" s="319">
        <f t="shared" si="50"/>
        <v>2.0134228187919462E-2</v>
      </c>
      <c r="BI672" s="320">
        <f t="shared" si="51"/>
        <v>1.0067114093959731E-2</v>
      </c>
      <c r="BJ672" s="3"/>
      <c r="BK672" s="3"/>
      <c r="BL672" s="3"/>
      <c r="BM672" s="3"/>
      <c r="BN672" s="3"/>
      <c r="BO672" s="3"/>
      <c r="BT672" s="316">
        <f t="shared" si="52"/>
        <v>3</v>
      </c>
      <c r="BU672" s="319">
        <f t="shared" si="53"/>
        <v>2.0134228187919462E-2</v>
      </c>
      <c r="BV672" s="320">
        <f t="shared" si="54"/>
        <v>1.0067114093959731E-2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675</v>
      </c>
      <c r="O673" s="1418"/>
      <c r="T673" s="22"/>
      <c r="U673" t="s">
        <v>20</v>
      </c>
      <c r="AG673" s="1418" t="s">
        <v>675</v>
      </c>
      <c r="AH673" s="1418"/>
      <c r="AZ673" s="3"/>
      <c r="BA673" s="118">
        <f t="shared" si="48"/>
        <v>3504</v>
      </c>
      <c r="BB673" s="3"/>
      <c r="BC673" s="3"/>
      <c r="BD673" s="3"/>
      <c r="BE673" s="3"/>
      <c r="BF673" s="218"/>
      <c r="BG673" s="316">
        <f t="shared" si="49"/>
        <v>4</v>
      </c>
      <c r="BH673" s="319">
        <f t="shared" si="50"/>
        <v>2.6845637583892617E-2</v>
      </c>
      <c r="BI673" s="320">
        <f t="shared" si="51"/>
        <v>1.6107382550335569E-2</v>
      </c>
      <c r="BJ673" s="3"/>
      <c r="BK673" s="3"/>
      <c r="BL673" s="3"/>
      <c r="BM673" s="3"/>
      <c r="BN673" s="3"/>
      <c r="BO673" s="3"/>
      <c r="BT673" s="316">
        <f t="shared" si="52"/>
        <v>4</v>
      </c>
      <c r="BU673" s="319">
        <f t="shared" si="53"/>
        <v>2.6845637583892617E-2</v>
      </c>
      <c r="BV673" s="320">
        <f t="shared" si="54"/>
        <v>1.6107382550335569E-2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3504</v>
      </c>
      <c r="BB674" s="3"/>
      <c r="BC674" s="3"/>
      <c r="BD674" s="3"/>
      <c r="BE674" s="3"/>
      <c r="BF674" s="218"/>
      <c r="BG674" s="316">
        <f t="shared" si="49"/>
        <v>16</v>
      </c>
      <c r="BH674" s="319">
        <f t="shared" si="50"/>
        <v>0.10738255033557047</v>
      </c>
      <c r="BI674" s="320">
        <f t="shared" si="51"/>
        <v>3.2214765100671137E-2</v>
      </c>
      <c r="BJ674" s="3"/>
      <c r="BK674" s="3"/>
      <c r="BL674" s="3"/>
      <c r="BM674" s="3"/>
      <c r="BN674" s="3"/>
      <c r="BO674" s="3"/>
      <c r="BT674" s="316">
        <f t="shared" si="52"/>
        <v>16</v>
      </c>
      <c r="BU674" s="319">
        <f t="shared" si="53"/>
        <v>0.10738255033557047</v>
      </c>
      <c r="BV674" s="320">
        <f t="shared" si="54"/>
        <v>3.2208635959670252E-2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1">
        <f>C635</f>
        <v>0</v>
      </c>
      <c r="H675" s="1511"/>
      <c r="I675" s="1511"/>
      <c r="J675" s="1511"/>
      <c r="K675" s="1511"/>
      <c r="L675" s="1511"/>
      <c r="M675" s="1511"/>
      <c r="N675" s="1511"/>
      <c r="O675" s="1511"/>
      <c r="P675" s="1511"/>
      <c r="Q675" s="1511"/>
      <c r="R675" s="1511"/>
      <c r="T675" s="55" t="s">
        <v>652</v>
      </c>
      <c r="U675" t="s">
        <v>470</v>
      </c>
      <c r="Z675" s="1511">
        <f>C636</f>
        <v>0</v>
      </c>
      <c r="AA675" s="1511"/>
      <c r="AB675" s="1511"/>
      <c r="AC675" s="1511"/>
      <c r="AD675" s="1511"/>
      <c r="AE675" s="1511"/>
      <c r="AF675" s="1511"/>
      <c r="AG675" s="1511"/>
      <c r="AH675" s="1511"/>
      <c r="AI675" s="1511"/>
      <c r="AJ675" s="1511"/>
      <c r="AK675" s="1511"/>
      <c r="AZ675" s="3"/>
      <c r="BA675" s="118">
        <f t="shared" si="48"/>
        <v>3504</v>
      </c>
      <c r="BB675" s="3"/>
      <c r="BC675" s="3"/>
      <c r="BD675" s="3"/>
      <c r="BE675" s="3"/>
      <c r="BF675" s="218"/>
      <c r="BG675" s="316">
        <f t="shared" si="49"/>
        <v>10</v>
      </c>
      <c r="BH675" s="319">
        <f t="shared" si="50"/>
        <v>6.7114093959731544E-2</v>
      </c>
      <c r="BI675" s="320">
        <f t="shared" si="51"/>
        <v>3.3557046979865772E-2</v>
      </c>
      <c r="BJ675" s="3"/>
      <c r="BK675" s="3"/>
      <c r="BL675" s="3"/>
      <c r="BM675" s="3"/>
      <c r="BN675" s="3"/>
      <c r="BO675" s="3"/>
      <c r="BT675" s="316">
        <f t="shared" si="52"/>
        <v>10</v>
      </c>
      <c r="BU675" s="319">
        <f t="shared" si="53"/>
        <v>6.7114093959731544E-2</v>
      </c>
      <c r="BV675" s="320">
        <f t="shared" si="54"/>
        <v>3.3557046979865772E-2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4048</v>
      </c>
      <c r="BB676" s="3"/>
      <c r="BC676" s="3"/>
      <c r="BD676" s="3"/>
      <c r="BE676" s="3"/>
      <c r="BF676" s="218"/>
      <c r="BG676" s="316">
        <f t="shared" si="49"/>
        <v>42</v>
      </c>
      <c r="BH676" s="319">
        <f t="shared" si="50"/>
        <v>0.28187919463087246</v>
      </c>
      <c r="BI676" s="320">
        <f t="shared" si="51"/>
        <v>0.16912751677852347</v>
      </c>
      <c r="BJ676" s="3"/>
      <c r="BK676" s="3"/>
      <c r="BL676" s="3"/>
      <c r="BM676" s="3"/>
      <c r="BN676" s="3"/>
      <c r="BO676" s="3"/>
      <c r="BT676" s="316">
        <f t="shared" si="52"/>
        <v>42</v>
      </c>
      <c r="BU676" s="319">
        <f t="shared" si="53"/>
        <v>0.28187919463087246</v>
      </c>
      <c r="BV676" s="320">
        <f t="shared" si="54"/>
        <v>0.16917578376390549</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32"/>
      <c r="H677" s="1432"/>
      <c r="I677" s="1432"/>
      <c r="J677" s="1432"/>
      <c r="K677" s="1432"/>
      <c r="L677" s="1432"/>
      <c r="M677" s="1432"/>
      <c r="N677" s="1432"/>
      <c r="O677" s="1432"/>
      <c r="P677" s="1432"/>
      <c r="Q677" s="1432"/>
      <c r="R677" s="1432"/>
      <c r="T677" s="22"/>
      <c r="U677" t="s">
        <v>587</v>
      </c>
      <c r="Z677" s="1431"/>
      <c r="AA677" s="1431"/>
      <c r="AB677" s="1431"/>
      <c r="AC677" s="1431"/>
      <c r="AD677" s="1431"/>
      <c r="AE677" s="1431"/>
      <c r="AF677" s="1431"/>
      <c r="AG677" s="1431"/>
      <c r="AH677" s="1431"/>
      <c r="AI677" s="1431"/>
      <c r="AJ677" s="1431"/>
      <c r="AK677" s="1431"/>
      <c r="AZ677" s="3"/>
      <c r="BA677" s="118">
        <f t="shared" si="48"/>
        <v>4048</v>
      </c>
      <c r="BB677" s="3"/>
      <c r="BC677" s="3"/>
      <c r="BD677" s="3"/>
      <c r="BE677" s="3"/>
      <c r="BF677" s="218"/>
      <c r="BG677" s="316">
        <f t="shared" si="49"/>
        <v>13</v>
      </c>
      <c r="BH677" s="319">
        <f t="shared" si="50"/>
        <v>8.7248322147651006E-2</v>
      </c>
      <c r="BI677" s="320">
        <f t="shared" si="51"/>
        <v>2.61744966442953E-2</v>
      </c>
      <c r="BJ677" s="3"/>
      <c r="BK677" s="3"/>
      <c r="BL677" s="3"/>
      <c r="BM677" s="3"/>
      <c r="BN677" s="3"/>
      <c r="BO677" s="3"/>
      <c r="BT677" s="316">
        <f t="shared" si="52"/>
        <v>13</v>
      </c>
      <c r="BU677" s="319">
        <f t="shared" si="53"/>
        <v>8.7248322147651006E-2</v>
      </c>
      <c r="BV677" s="320">
        <f t="shared" si="54"/>
        <v>2.616587526858901E-2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4048</v>
      </c>
      <c r="BB678" s="3"/>
      <c r="BC678" s="3"/>
      <c r="BD678" s="3"/>
      <c r="BE678" s="3"/>
      <c r="BF678" s="218"/>
      <c r="BG678" s="316">
        <f t="shared" si="49"/>
        <v>17</v>
      </c>
      <c r="BH678" s="319">
        <f t="shared" si="50"/>
        <v>0.11409395973154363</v>
      </c>
      <c r="BI678" s="320">
        <f t="shared" si="51"/>
        <v>5.7046979865771813E-2</v>
      </c>
      <c r="BJ678" s="3"/>
      <c r="BK678" s="3"/>
      <c r="BL678" s="3"/>
      <c r="BM678" s="3"/>
      <c r="BN678" s="3"/>
      <c r="BO678" s="3"/>
      <c r="BT678" s="316">
        <f t="shared" si="52"/>
        <v>17</v>
      </c>
      <c r="BU678" s="319">
        <f t="shared" si="53"/>
        <v>0.11409395973154363</v>
      </c>
      <c r="BV678" s="320">
        <f t="shared" si="54"/>
        <v>5.7046979865771813E-2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5"/>
      <c r="H679" s="1435"/>
      <c r="I679" s="1435"/>
      <c r="J679" s="1435"/>
      <c r="K679" s="1435"/>
      <c r="L679" s="1435"/>
      <c r="O679" s="33" t="s">
        <v>206</v>
      </c>
      <c r="P679" s="1419"/>
      <c r="Q679" s="1419"/>
      <c r="R679" s="1419"/>
      <c r="T679" s="22"/>
      <c r="U679" t="s">
        <v>316</v>
      </c>
      <c r="Z679" s="1435"/>
      <c r="AA679" s="1435"/>
      <c r="AB679" s="1435"/>
      <c r="AC679" s="1435"/>
      <c r="AD679" s="1435"/>
      <c r="AE679" s="1435"/>
      <c r="AH679" s="33" t="s">
        <v>206</v>
      </c>
      <c r="AI679" s="1419"/>
      <c r="AJ679" s="1419"/>
      <c r="AK679" s="1419"/>
      <c r="AZ679" s="3"/>
      <c r="BA679" s="118" t="str">
        <f t="shared" si="48"/>
        <v>N/A</v>
      </c>
      <c r="BB679" s="3"/>
      <c r="BC679" s="3"/>
      <c r="BD679" s="3"/>
      <c r="BE679" s="3"/>
      <c r="BF679" s="218"/>
      <c r="BG679" s="316">
        <f t="shared" si="49"/>
        <v>19</v>
      </c>
      <c r="BH679" s="319">
        <f t="shared" si="50"/>
        <v>0.12751677852348994</v>
      </c>
      <c r="BI679" s="320">
        <f t="shared" si="51"/>
        <v>7.6510067114093958E-2</v>
      </c>
      <c r="BJ679" s="3"/>
      <c r="BK679" s="3"/>
      <c r="BL679" s="3"/>
      <c r="BM679" s="3"/>
      <c r="BN679" s="3"/>
      <c r="BO679" s="3"/>
      <c r="BT679" s="316">
        <f t="shared" si="52"/>
        <v>19</v>
      </c>
      <c r="BU679" s="319">
        <f t="shared" si="53"/>
        <v>0.12751677852348994</v>
      </c>
      <c r="BV679" s="320">
        <f t="shared" si="54"/>
        <v>7.651636735018702E-2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675</v>
      </c>
      <c r="O681" s="1418"/>
      <c r="T681" s="22"/>
      <c r="U681" t="s">
        <v>20</v>
      </c>
      <c r="AG681" s="1418" t="s">
        <v>675</v>
      </c>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1">
        <f>C637</f>
        <v>0</v>
      </c>
      <c r="H683" s="1511"/>
      <c r="I683" s="1511"/>
      <c r="J683" s="1511"/>
      <c r="K683" s="1511"/>
      <c r="L683" s="1511"/>
      <c r="M683" s="1511"/>
      <c r="N683" s="1511"/>
      <c r="O683" s="1511"/>
      <c r="P683" s="1511"/>
      <c r="Q683" s="1511"/>
      <c r="R683" s="1511"/>
      <c r="T683" s="55" t="s">
        <v>363</v>
      </c>
      <c r="U683" t="s">
        <v>470</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32"/>
      <c r="H685" s="1432"/>
      <c r="I685" s="1432"/>
      <c r="J685" s="1432"/>
      <c r="K685" s="1432"/>
      <c r="L685" s="1432"/>
      <c r="M685" s="1432"/>
      <c r="N685" s="1432"/>
      <c r="O685" s="1432"/>
      <c r="P685" s="1432"/>
      <c r="Q685" s="1432"/>
      <c r="R685" s="1432"/>
      <c r="U685" t="s">
        <v>587</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5"/>
      <c r="H687" s="1435"/>
      <c r="I687" s="1435"/>
      <c r="J687" s="1435"/>
      <c r="K687" s="1435"/>
      <c r="L687" s="1435"/>
      <c r="O687" s="33" t="s">
        <v>206</v>
      </c>
      <c r="P687" s="1419"/>
      <c r="Q687" s="1419"/>
      <c r="R687" s="1419"/>
      <c r="U687" t="s">
        <v>316</v>
      </c>
      <c r="Z687" s="1435"/>
      <c r="AA687" s="1435"/>
      <c r="AB687" s="1435"/>
      <c r="AC687" s="1435"/>
      <c r="AD687" s="1435"/>
      <c r="AE687" s="1435"/>
      <c r="AH687" s="33" t="s">
        <v>206</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675</v>
      </c>
      <c r="O689" s="1418"/>
      <c r="U689" t="s">
        <v>20</v>
      </c>
      <c r="AG689" s="1418" t="s">
        <v>675</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8" t="s">
        <v>552</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8" t="s">
        <v>675</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6">
        <v>45531</v>
      </c>
      <c r="AF695" s="1536"/>
      <c r="AG695" s="1536"/>
      <c r="AH695" s="1536"/>
      <c r="AI695" s="153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4">
        <v>45637</v>
      </c>
      <c r="AF696" s="1584"/>
      <c r="AG696" s="1584"/>
      <c r="AH696" s="1584"/>
      <c r="AI696" s="158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6">
        <v>45812</v>
      </c>
      <c r="AF698" s="1536"/>
      <c r="AG698" s="1536"/>
      <c r="AH698" s="1536"/>
      <c r="AI698" s="153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5">
        <f xml:space="preserve"> (66000000) / (112774890+8250000)</f>
        <v>0.54534236717752849</v>
      </c>
      <c r="AF699" s="1585"/>
      <c r="AG699" s="1585"/>
      <c r="AH699" s="1585"/>
      <c r="AI699" s="158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1" t="str">
        <f>H335</f>
        <v>California Municipal Finance Authority (CMFA)</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8" t="s">
        <v>675</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912</v>
      </c>
      <c r="BG703" s="321">
        <f>SUM(BG668:BG702)</f>
        <v>149</v>
      </c>
      <c r="BH703" s="322">
        <f>SUM(BH668:BH702)</f>
        <v>0.99999999999999989</v>
      </c>
      <c r="BI703" s="322">
        <f>SUM(BI668:BI702)</f>
        <v>0.49932885906040264</v>
      </c>
      <c r="BN703" s="3"/>
      <c r="BO703" s="3"/>
      <c r="BT703" s="893">
        <f>SUM(BT668:BT702)</f>
        <v>149</v>
      </c>
      <c r="BU703" s="322">
        <f>SUM(BU668:BU702)</f>
        <v>0.99999999999999989</v>
      </c>
      <c r="BV703" s="322">
        <f>SUM(BV668:BV702)</f>
        <v>0.499380502037234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206</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32" t="s">
        <v>307</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334</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9" t="s">
        <v>389</v>
      </c>
      <c r="C714" s="1370"/>
      <c r="D714" s="1370"/>
      <c r="E714" s="1370"/>
      <c r="F714" s="1371"/>
      <c r="G714" s="1579" t="s">
        <v>285</v>
      </c>
      <c r="H714" s="1370"/>
      <c r="I714" s="1370"/>
      <c r="J714" s="1371"/>
      <c r="K714" s="1384" t="s">
        <v>1863</v>
      </c>
      <c r="L714" s="1385"/>
      <c r="M714" s="1385"/>
      <c r="N714" s="1386"/>
      <c r="O714" s="1579" t="s">
        <v>454</v>
      </c>
      <c r="P714" s="1370"/>
      <c r="Q714" s="1370"/>
      <c r="R714" s="1370"/>
      <c r="S714" s="1371"/>
      <c r="T714" s="1369" t="s">
        <v>2247</v>
      </c>
      <c r="U714" s="1370"/>
      <c r="V714" s="1370"/>
      <c r="W714" s="1371"/>
      <c r="X714" s="1369" t="s">
        <v>2249</v>
      </c>
      <c r="Y714" s="1370"/>
      <c r="Z714" s="1370"/>
      <c r="AA714" s="1370"/>
      <c r="AB714" s="1371"/>
      <c r="AC714" s="1369" t="s">
        <v>2248</v>
      </c>
      <c r="AD714" s="1370"/>
      <c r="AE714" s="1370"/>
      <c r="AF714" s="1370"/>
      <c r="AG714" s="1371"/>
      <c r="AH714" s="1369" t="s">
        <v>2250</v>
      </c>
      <c r="AI714" s="1370"/>
      <c r="AJ714" s="1371"/>
      <c r="AK714" s="1369" t="s">
        <v>2284</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7" t="s">
        <v>324</v>
      </c>
      <c r="C718" s="1358"/>
      <c r="D718" s="1358"/>
      <c r="E718" s="1358"/>
      <c r="F718" s="1359"/>
      <c r="G718" s="1366">
        <v>6</v>
      </c>
      <c r="H718" s="1367"/>
      <c r="I718" s="1367"/>
      <c r="J718" s="1368"/>
      <c r="K718" s="1574">
        <v>411</v>
      </c>
      <c r="L718" s="1575"/>
      <c r="M718" s="1575"/>
      <c r="N718" s="1576"/>
      <c r="O718" s="1378">
        <v>752</v>
      </c>
      <c r="P718" s="1379"/>
      <c r="Q718" s="1379"/>
      <c r="R718" s="1379"/>
      <c r="S718" s="1380"/>
      <c r="T718" s="1378">
        <v>65</v>
      </c>
      <c r="U718" s="1379"/>
      <c r="V718" s="1379"/>
      <c r="W718" s="1380"/>
      <c r="X718" s="1360">
        <f t="shared" ref="X718:X741" si="59">O718+T718</f>
        <v>817</v>
      </c>
      <c r="Y718" s="1361"/>
      <c r="Z718" s="1361"/>
      <c r="AA718" s="1361"/>
      <c r="AB718" s="1362"/>
      <c r="AC718" s="1381">
        <v>0.3</v>
      </c>
      <c r="AD718" s="1382"/>
      <c r="AE718" s="1382"/>
      <c r="AF718" s="1382"/>
      <c r="AG718" s="1383"/>
      <c r="AH718" s="1363">
        <f t="shared" ref="AH718:AH751" si="60">IF($AC718&gt;0,($X718/$BA667), "")</f>
        <v>0.29992657856093979</v>
      </c>
      <c r="AI718" s="1364"/>
      <c r="AJ718" s="1365"/>
      <c r="AK718" s="1357" t="s">
        <v>598</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7" t="s">
        <v>324</v>
      </c>
      <c r="C719" s="1358"/>
      <c r="D719" s="1358"/>
      <c r="E719" s="1358"/>
      <c r="F719" s="1359"/>
      <c r="G719" s="1366">
        <v>6</v>
      </c>
      <c r="H719" s="1367"/>
      <c r="I719" s="1367"/>
      <c r="J719" s="1368"/>
      <c r="K719" s="1574">
        <v>411</v>
      </c>
      <c r="L719" s="1575"/>
      <c r="M719" s="1575"/>
      <c r="N719" s="1576"/>
      <c r="O719" s="1378">
        <v>1297</v>
      </c>
      <c r="P719" s="1379"/>
      <c r="Q719" s="1379"/>
      <c r="R719" s="1379"/>
      <c r="S719" s="1380"/>
      <c r="T719" s="1378">
        <v>65</v>
      </c>
      <c r="U719" s="1379"/>
      <c r="V719" s="1379"/>
      <c r="W719" s="1380"/>
      <c r="X719" s="1360">
        <f t="shared" si="59"/>
        <v>1362</v>
      </c>
      <c r="Y719" s="1361"/>
      <c r="Z719" s="1361"/>
      <c r="AA719" s="1361"/>
      <c r="AB719" s="1362"/>
      <c r="AC719" s="1381">
        <v>0.5</v>
      </c>
      <c r="AD719" s="1382"/>
      <c r="AE719" s="1382"/>
      <c r="AF719" s="1382"/>
      <c r="AG719" s="1383"/>
      <c r="AH719" s="1363">
        <f t="shared" si="60"/>
        <v>0.5</v>
      </c>
      <c r="AI719" s="1364"/>
      <c r="AJ719" s="1365"/>
      <c r="AK719" s="1357" t="s">
        <v>598</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7" t="s">
        <v>324</v>
      </c>
      <c r="C720" s="1358"/>
      <c r="D720" s="1358"/>
      <c r="E720" s="1358"/>
      <c r="F720" s="1359"/>
      <c r="G720" s="1366">
        <v>10</v>
      </c>
      <c r="H720" s="1367"/>
      <c r="I720" s="1367"/>
      <c r="J720" s="1368"/>
      <c r="K720" s="1574">
        <v>411</v>
      </c>
      <c r="L720" s="1575"/>
      <c r="M720" s="1575"/>
      <c r="N720" s="1576"/>
      <c r="O720" s="1378">
        <v>1570</v>
      </c>
      <c r="P720" s="1379"/>
      <c r="Q720" s="1379"/>
      <c r="R720" s="1379"/>
      <c r="S720" s="1380"/>
      <c r="T720" s="1378">
        <v>65</v>
      </c>
      <c r="U720" s="1379"/>
      <c r="V720" s="1379"/>
      <c r="W720" s="1380"/>
      <c r="X720" s="1360">
        <f t="shared" si="59"/>
        <v>1635</v>
      </c>
      <c r="Y720" s="1361"/>
      <c r="Z720" s="1361"/>
      <c r="AA720" s="1361"/>
      <c r="AB720" s="1362"/>
      <c r="AC720" s="1381">
        <v>0.6</v>
      </c>
      <c r="AD720" s="1382"/>
      <c r="AE720" s="1382"/>
      <c r="AF720" s="1382"/>
      <c r="AG720" s="1383"/>
      <c r="AH720" s="1363">
        <f t="shared" si="60"/>
        <v>0.60022026431718056</v>
      </c>
      <c r="AI720" s="1364"/>
      <c r="AJ720" s="1365"/>
      <c r="AK720" s="1357" t="s">
        <v>598</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7" t="s">
        <v>325</v>
      </c>
      <c r="C721" s="1358"/>
      <c r="D721" s="1358"/>
      <c r="E721" s="1358"/>
      <c r="F721" s="1359"/>
      <c r="G721" s="1366">
        <v>3</v>
      </c>
      <c r="H721" s="1367"/>
      <c r="I721" s="1367"/>
      <c r="J721" s="1368"/>
      <c r="K721" s="1574">
        <v>554</v>
      </c>
      <c r="L721" s="1575"/>
      <c r="M721" s="1575"/>
      <c r="N721" s="1576"/>
      <c r="O721" s="1378">
        <v>798</v>
      </c>
      <c r="P721" s="1379"/>
      <c r="Q721" s="1379"/>
      <c r="R721" s="1379"/>
      <c r="S721" s="1380"/>
      <c r="T721" s="1378">
        <v>78</v>
      </c>
      <c r="U721" s="1379"/>
      <c r="V721" s="1379"/>
      <c r="W721" s="1380"/>
      <c r="X721" s="1360">
        <f t="shared" si="59"/>
        <v>876</v>
      </c>
      <c r="Y721" s="1361"/>
      <c r="Z721" s="1361"/>
      <c r="AA721" s="1361"/>
      <c r="AB721" s="1362"/>
      <c r="AC721" s="1381">
        <v>0.3</v>
      </c>
      <c r="AD721" s="1382"/>
      <c r="AE721" s="1382"/>
      <c r="AF721" s="1382"/>
      <c r="AG721" s="1383"/>
      <c r="AH721" s="1363">
        <f t="shared" si="60"/>
        <v>0.3</v>
      </c>
      <c r="AI721" s="1364"/>
      <c r="AJ721" s="1365"/>
      <c r="AK721" s="1357" t="s">
        <v>598</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7" t="s">
        <v>325</v>
      </c>
      <c r="C722" s="1358"/>
      <c r="D722" s="1358"/>
      <c r="E722" s="1358"/>
      <c r="F722" s="1359"/>
      <c r="G722" s="1366">
        <v>3</v>
      </c>
      <c r="H722" s="1367"/>
      <c r="I722" s="1367"/>
      <c r="J722" s="1368"/>
      <c r="K722" s="1574">
        <v>554</v>
      </c>
      <c r="L722" s="1575"/>
      <c r="M722" s="1575"/>
      <c r="N722" s="1576"/>
      <c r="O722" s="1378">
        <v>1382</v>
      </c>
      <c r="P722" s="1379"/>
      <c r="Q722" s="1379"/>
      <c r="R722" s="1379"/>
      <c r="S722" s="1380"/>
      <c r="T722" s="1378">
        <v>78</v>
      </c>
      <c r="U722" s="1379"/>
      <c r="V722" s="1379"/>
      <c r="W722" s="1380"/>
      <c r="X722" s="1360">
        <f t="shared" si="59"/>
        <v>1460</v>
      </c>
      <c r="Y722" s="1361"/>
      <c r="Z722" s="1361"/>
      <c r="AA722" s="1361"/>
      <c r="AB722" s="1362"/>
      <c r="AC722" s="1381">
        <v>0.5</v>
      </c>
      <c r="AD722" s="1382"/>
      <c r="AE722" s="1382"/>
      <c r="AF722" s="1382"/>
      <c r="AG722" s="1383"/>
      <c r="AH722" s="1363">
        <f t="shared" si="60"/>
        <v>0.5</v>
      </c>
      <c r="AI722" s="1364"/>
      <c r="AJ722" s="1365"/>
      <c r="AK722" s="1357" t="s">
        <v>598</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7" t="s">
        <v>325</v>
      </c>
      <c r="C723" s="1358"/>
      <c r="D723" s="1358"/>
      <c r="E723" s="1358"/>
      <c r="F723" s="1359"/>
      <c r="G723" s="1366">
        <v>4</v>
      </c>
      <c r="H723" s="1367"/>
      <c r="I723" s="1367"/>
      <c r="J723" s="1368"/>
      <c r="K723" s="1574">
        <v>554</v>
      </c>
      <c r="L723" s="1575"/>
      <c r="M723" s="1575"/>
      <c r="N723" s="1576"/>
      <c r="O723" s="1378">
        <v>1674</v>
      </c>
      <c r="P723" s="1379"/>
      <c r="Q723" s="1379"/>
      <c r="R723" s="1379"/>
      <c r="S723" s="1380"/>
      <c r="T723" s="1378">
        <v>78</v>
      </c>
      <c r="U723" s="1379"/>
      <c r="V723" s="1379"/>
      <c r="W723" s="1380"/>
      <c r="X723" s="1360">
        <f t="shared" si="59"/>
        <v>1752</v>
      </c>
      <c r="Y723" s="1361"/>
      <c r="Z723" s="1361"/>
      <c r="AA723" s="1361"/>
      <c r="AB723" s="1362"/>
      <c r="AC723" s="1381">
        <v>0.6</v>
      </c>
      <c r="AD723" s="1382"/>
      <c r="AE723" s="1382"/>
      <c r="AF723" s="1382"/>
      <c r="AG723" s="1383"/>
      <c r="AH723" s="1363">
        <f t="shared" si="60"/>
        <v>0.6</v>
      </c>
      <c r="AI723" s="1364"/>
      <c r="AJ723" s="1365"/>
      <c r="AK723" s="1357" t="s">
        <v>598</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7" t="s">
        <v>163</v>
      </c>
      <c r="C724" s="1358"/>
      <c r="D724" s="1358"/>
      <c r="E724" s="1358"/>
      <c r="F724" s="1359"/>
      <c r="G724" s="1366">
        <v>16</v>
      </c>
      <c r="H724" s="1367"/>
      <c r="I724" s="1367"/>
      <c r="J724" s="1368"/>
      <c r="K724" s="1574">
        <v>792</v>
      </c>
      <c r="L724" s="1575"/>
      <c r="M724" s="1575"/>
      <c r="N724" s="1576"/>
      <c r="O724" s="1378">
        <v>940</v>
      </c>
      <c r="P724" s="1379"/>
      <c r="Q724" s="1379"/>
      <c r="R724" s="1379"/>
      <c r="S724" s="1380"/>
      <c r="T724" s="1378">
        <v>111</v>
      </c>
      <c r="U724" s="1379"/>
      <c r="V724" s="1379"/>
      <c r="W724" s="1380"/>
      <c r="X724" s="1360">
        <f t="shared" si="59"/>
        <v>1051</v>
      </c>
      <c r="Y724" s="1361"/>
      <c r="Z724" s="1361"/>
      <c r="AA724" s="1361"/>
      <c r="AB724" s="1362"/>
      <c r="AC724" s="1381">
        <v>0.3</v>
      </c>
      <c r="AD724" s="1382"/>
      <c r="AE724" s="1382"/>
      <c r="AF724" s="1382"/>
      <c r="AG724" s="1383"/>
      <c r="AH724" s="1363">
        <f t="shared" si="60"/>
        <v>0.29994292237442921</v>
      </c>
      <c r="AI724" s="1364"/>
      <c r="AJ724" s="1365"/>
      <c r="AK724" s="1357" t="s">
        <v>598</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7" t="s">
        <v>163</v>
      </c>
      <c r="C725" s="1358"/>
      <c r="D725" s="1358"/>
      <c r="E725" s="1358"/>
      <c r="F725" s="1359"/>
      <c r="G725" s="1366">
        <v>10</v>
      </c>
      <c r="H725" s="1367"/>
      <c r="I725" s="1367"/>
      <c r="J725" s="1368"/>
      <c r="K725" s="1574">
        <v>792</v>
      </c>
      <c r="L725" s="1575"/>
      <c r="M725" s="1575"/>
      <c r="N725" s="1576"/>
      <c r="O725" s="1378">
        <v>1641</v>
      </c>
      <c r="P725" s="1379"/>
      <c r="Q725" s="1379"/>
      <c r="R725" s="1379"/>
      <c r="S725" s="1380"/>
      <c r="T725" s="1378">
        <v>111</v>
      </c>
      <c r="U725" s="1379"/>
      <c r="V725" s="1379"/>
      <c r="W725" s="1380"/>
      <c r="X725" s="1360">
        <f t="shared" si="59"/>
        <v>1752</v>
      </c>
      <c r="Y725" s="1361"/>
      <c r="Z725" s="1361"/>
      <c r="AA725" s="1361"/>
      <c r="AB725" s="1362"/>
      <c r="AC725" s="1381">
        <v>0.5</v>
      </c>
      <c r="AD725" s="1382"/>
      <c r="AE725" s="1382"/>
      <c r="AF725" s="1382"/>
      <c r="AG725" s="1383"/>
      <c r="AH725" s="1363">
        <f t="shared" si="60"/>
        <v>0.5</v>
      </c>
      <c r="AI725" s="1364"/>
      <c r="AJ725" s="1365"/>
      <c r="AK725" s="1357" t="s">
        <v>598</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7" t="s">
        <v>163</v>
      </c>
      <c r="C726" s="1358"/>
      <c r="D726" s="1358"/>
      <c r="E726" s="1358"/>
      <c r="F726" s="1359"/>
      <c r="G726" s="1366">
        <v>42</v>
      </c>
      <c r="H726" s="1367"/>
      <c r="I726" s="1367"/>
      <c r="J726" s="1368"/>
      <c r="K726" s="1574">
        <v>792</v>
      </c>
      <c r="L726" s="1575"/>
      <c r="M726" s="1575"/>
      <c r="N726" s="1576"/>
      <c r="O726" s="1378">
        <v>1992</v>
      </c>
      <c r="P726" s="1379"/>
      <c r="Q726" s="1379"/>
      <c r="R726" s="1379"/>
      <c r="S726" s="1380"/>
      <c r="T726" s="1378">
        <v>111</v>
      </c>
      <c r="U726" s="1379"/>
      <c r="V726" s="1379"/>
      <c r="W726" s="1380"/>
      <c r="X726" s="1360">
        <f t="shared" si="59"/>
        <v>2103</v>
      </c>
      <c r="Y726" s="1361"/>
      <c r="Z726" s="1361"/>
      <c r="AA726" s="1361"/>
      <c r="AB726" s="1362"/>
      <c r="AC726" s="1381">
        <v>0.6</v>
      </c>
      <c r="AD726" s="1382"/>
      <c r="AE726" s="1382"/>
      <c r="AF726" s="1382"/>
      <c r="AG726" s="1383"/>
      <c r="AH726" s="1363">
        <f t="shared" si="60"/>
        <v>0.60017123287671237</v>
      </c>
      <c r="AI726" s="1364"/>
      <c r="AJ726" s="1365"/>
      <c r="AK726" s="1357" t="s">
        <v>598</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7" t="s">
        <v>164</v>
      </c>
      <c r="C727" s="1358"/>
      <c r="D727" s="1358"/>
      <c r="E727" s="1358"/>
      <c r="F727" s="1359"/>
      <c r="G727" s="1366">
        <v>13</v>
      </c>
      <c r="H727" s="1367"/>
      <c r="I727" s="1367"/>
      <c r="J727" s="1368"/>
      <c r="K727" s="1574">
        <v>1076</v>
      </c>
      <c r="L727" s="1575"/>
      <c r="M727" s="1575"/>
      <c r="N727" s="1576"/>
      <c r="O727" s="1378">
        <v>1072</v>
      </c>
      <c r="P727" s="1379"/>
      <c r="Q727" s="1379"/>
      <c r="R727" s="1379"/>
      <c r="S727" s="1380"/>
      <c r="T727" s="1378">
        <v>142</v>
      </c>
      <c r="U727" s="1379"/>
      <c r="V727" s="1379"/>
      <c r="W727" s="1380"/>
      <c r="X727" s="1360">
        <f t="shared" si="59"/>
        <v>1214</v>
      </c>
      <c r="Y727" s="1361"/>
      <c r="Z727" s="1361"/>
      <c r="AA727" s="1361"/>
      <c r="AB727" s="1362"/>
      <c r="AC727" s="1381">
        <v>0.3</v>
      </c>
      <c r="AD727" s="1382"/>
      <c r="AE727" s="1382"/>
      <c r="AF727" s="1382"/>
      <c r="AG727" s="1383"/>
      <c r="AH727" s="1363">
        <f t="shared" si="60"/>
        <v>0.29990118577075098</v>
      </c>
      <c r="AI727" s="1364"/>
      <c r="AJ727" s="1365"/>
      <c r="AK727" s="1357" t="s">
        <v>598</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7" t="s">
        <v>164</v>
      </c>
      <c r="C728" s="1358"/>
      <c r="D728" s="1358"/>
      <c r="E728" s="1358"/>
      <c r="F728" s="1359"/>
      <c r="G728" s="1366">
        <v>17</v>
      </c>
      <c r="H728" s="1367"/>
      <c r="I728" s="1367"/>
      <c r="J728" s="1368"/>
      <c r="K728" s="1574">
        <v>1076</v>
      </c>
      <c r="L728" s="1575"/>
      <c r="M728" s="1575"/>
      <c r="N728" s="1576"/>
      <c r="O728" s="1378">
        <v>1882</v>
      </c>
      <c r="P728" s="1379"/>
      <c r="Q728" s="1379"/>
      <c r="R728" s="1379"/>
      <c r="S728" s="1380"/>
      <c r="T728" s="1378">
        <v>142</v>
      </c>
      <c r="U728" s="1379"/>
      <c r="V728" s="1379"/>
      <c r="W728" s="1380"/>
      <c r="X728" s="1360">
        <f t="shared" si="59"/>
        <v>2024</v>
      </c>
      <c r="Y728" s="1361"/>
      <c r="Z728" s="1361"/>
      <c r="AA728" s="1361"/>
      <c r="AB728" s="1362"/>
      <c r="AC728" s="1381">
        <v>0.5</v>
      </c>
      <c r="AD728" s="1382"/>
      <c r="AE728" s="1382"/>
      <c r="AF728" s="1382"/>
      <c r="AG728" s="1383"/>
      <c r="AH728" s="1363">
        <f t="shared" si="60"/>
        <v>0.5</v>
      </c>
      <c r="AI728" s="1364"/>
      <c r="AJ728" s="1365"/>
      <c r="AK728" s="1357" t="s">
        <v>598</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7" t="s">
        <v>164</v>
      </c>
      <c r="C729" s="1358"/>
      <c r="D729" s="1358"/>
      <c r="E729" s="1358"/>
      <c r="F729" s="1359"/>
      <c r="G729" s="1366">
        <v>19</v>
      </c>
      <c r="H729" s="1367"/>
      <c r="I729" s="1367"/>
      <c r="J729" s="1368"/>
      <c r="K729" s="1574">
        <v>1076</v>
      </c>
      <c r="L729" s="1575"/>
      <c r="M729" s="1575"/>
      <c r="N729" s="1576"/>
      <c r="O729" s="1378">
        <v>2287</v>
      </c>
      <c r="P729" s="1379"/>
      <c r="Q729" s="1379"/>
      <c r="R729" s="1379"/>
      <c r="S729" s="1380"/>
      <c r="T729" s="1378">
        <v>142</v>
      </c>
      <c r="U729" s="1379"/>
      <c r="V729" s="1379"/>
      <c r="W729" s="1380"/>
      <c r="X729" s="1360">
        <f t="shared" si="59"/>
        <v>2429</v>
      </c>
      <c r="Y729" s="1361"/>
      <c r="Z729" s="1361"/>
      <c r="AA729" s="1361"/>
      <c r="AB729" s="1362"/>
      <c r="AC729" s="1381">
        <v>0.6</v>
      </c>
      <c r="AD729" s="1382"/>
      <c r="AE729" s="1382"/>
      <c r="AF729" s="1382"/>
      <c r="AG729" s="1383"/>
      <c r="AH729" s="1363">
        <f t="shared" si="60"/>
        <v>0.60004940711462451</v>
      </c>
      <c r="AI729" s="1364"/>
      <c r="AJ729" s="1365"/>
      <c r="AK729" s="1357" t="s">
        <v>598</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7"/>
      <c r="C730" s="1358"/>
      <c r="D730" s="1358"/>
      <c r="E730" s="1358"/>
      <c r="F730" s="1359"/>
      <c r="G730" s="1366"/>
      <c r="H730" s="1367"/>
      <c r="I730" s="1367"/>
      <c r="J730" s="1368"/>
      <c r="K730" s="1574"/>
      <c r="L730" s="1575"/>
      <c r="M730" s="1575"/>
      <c r="N730" s="1576"/>
      <c r="O730" s="1378"/>
      <c r="P730" s="1379"/>
      <c r="Q730" s="1379"/>
      <c r="R730" s="1379"/>
      <c r="S730" s="1380"/>
      <c r="T730" s="1378"/>
      <c r="U730" s="1379"/>
      <c r="V730" s="1379"/>
      <c r="W730" s="1380"/>
      <c r="X730" s="1360">
        <f t="shared" si="59"/>
        <v>0</v>
      </c>
      <c r="Y730" s="1361"/>
      <c r="Z730" s="1361"/>
      <c r="AA730" s="1361"/>
      <c r="AB730" s="1362"/>
      <c r="AC730" s="1381"/>
      <c r="AD730" s="1382"/>
      <c r="AE730" s="1382"/>
      <c r="AF730" s="1382"/>
      <c r="AG730" s="1383"/>
      <c r="AH730" s="1363" t="str">
        <f t="shared" si="60"/>
        <v/>
      </c>
      <c r="AI730" s="1364"/>
      <c r="AJ730" s="1365"/>
      <c r="AK730" s="1357"/>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7"/>
      <c r="C731" s="1358"/>
      <c r="D731" s="1358"/>
      <c r="E731" s="1358"/>
      <c r="F731" s="1359"/>
      <c r="G731" s="1366"/>
      <c r="H731" s="1367"/>
      <c r="I731" s="1367"/>
      <c r="J731" s="1368"/>
      <c r="K731" s="1574"/>
      <c r="L731" s="1575"/>
      <c r="M731" s="1575"/>
      <c r="N731" s="1576"/>
      <c r="O731" s="1378"/>
      <c r="P731" s="1379"/>
      <c r="Q731" s="1379"/>
      <c r="R731" s="1379"/>
      <c r="S731" s="1380"/>
      <c r="T731" s="1378"/>
      <c r="U731" s="1379"/>
      <c r="V731" s="1379"/>
      <c r="W731" s="1380"/>
      <c r="X731" s="1360">
        <f t="shared" si="59"/>
        <v>0</v>
      </c>
      <c r="Y731" s="1361"/>
      <c r="Z731" s="1361"/>
      <c r="AA731" s="1361"/>
      <c r="AB731" s="1362"/>
      <c r="AC731" s="1381"/>
      <c r="AD731" s="1382"/>
      <c r="AE731" s="1382"/>
      <c r="AF731" s="1382"/>
      <c r="AG731" s="1383"/>
      <c r="AH731" s="1363" t="str">
        <f t="shared" si="60"/>
        <v/>
      </c>
      <c r="AI731" s="1364"/>
      <c r="AJ731" s="1365"/>
      <c r="AK731" s="1357"/>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7"/>
      <c r="C732" s="1358"/>
      <c r="D732" s="1358"/>
      <c r="E732" s="1358"/>
      <c r="F732" s="1359"/>
      <c r="G732" s="1366"/>
      <c r="H732" s="1367"/>
      <c r="I732" s="1367"/>
      <c r="J732" s="1368"/>
      <c r="K732" s="1574"/>
      <c r="L732" s="1575"/>
      <c r="M732" s="1575"/>
      <c r="N732" s="1576"/>
      <c r="O732" s="1378"/>
      <c r="P732" s="1379"/>
      <c r="Q732" s="1379"/>
      <c r="R732" s="1379"/>
      <c r="S732" s="1380"/>
      <c r="T732" s="1378"/>
      <c r="U732" s="1379"/>
      <c r="V732" s="1379"/>
      <c r="W732" s="1380"/>
      <c r="X732" s="1360">
        <f t="shared" si="59"/>
        <v>0</v>
      </c>
      <c r="Y732" s="1361"/>
      <c r="Z732" s="1361"/>
      <c r="AA732" s="1361"/>
      <c r="AB732" s="1362"/>
      <c r="AC732" s="1381"/>
      <c r="AD732" s="1382"/>
      <c r="AE732" s="1382"/>
      <c r="AF732" s="1382"/>
      <c r="AG732" s="1383"/>
      <c r="AH732" s="1363" t="str">
        <f t="shared" si="60"/>
        <v/>
      </c>
      <c r="AI732" s="1364"/>
      <c r="AJ732" s="1365"/>
      <c r="AK732" s="1357"/>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7"/>
      <c r="C733" s="1358"/>
      <c r="D733" s="1358"/>
      <c r="E733" s="1358"/>
      <c r="F733" s="1359"/>
      <c r="G733" s="1366"/>
      <c r="H733" s="1367"/>
      <c r="I733" s="1367"/>
      <c r="J733" s="1368"/>
      <c r="K733" s="1574"/>
      <c r="L733" s="1575"/>
      <c r="M733" s="1575"/>
      <c r="N733" s="1576"/>
      <c r="O733" s="1378"/>
      <c r="P733" s="1379"/>
      <c r="Q733" s="1379"/>
      <c r="R733" s="1379"/>
      <c r="S733" s="1380"/>
      <c r="T733" s="1378"/>
      <c r="U733" s="1379"/>
      <c r="V733" s="1379"/>
      <c r="W733" s="1380"/>
      <c r="X733" s="1360">
        <f t="shared" si="59"/>
        <v>0</v>
      </c>
      <c r="Y733" s="1361"/>
      <c r="Z733" s="1361"/>
      <c r="AA733" s="1361"/>
      <c r="AB733" s="1362"/>
      <c r="AC733" s="1381"/>
      <c r="AD733" s="1382"/>
      <c r="AE733" s="1382"/>
      <c r="AF733" s="1382"/>
      <c r="AG733" s="1383"/>
      <c r="AH733" s="1363" t="str">
        <f t="shared" si="60"/>
        <v/>
      </c>
      <c r="AI733" s="1364"/>
      <c r="AJ733" s="1365"/>
      <c r="AK733" s="1357"/>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7"/>
      <c r="C734" s="1358"/>
      <c r="D734" s="1358"/>
      <c r="E734" s="1358"/>
      <c r="F734" s="1359"/>
      <c r="G734" s="1366"/>
      <c r="H734" s="1367"/>
      <c r="I734" s="1367"/>
      <c r="J734" s="1368"/>
      <c r="K734" s="1574"/>
      <c r="L734" s="1575"/>
      <c r="M734" s="1575"/>
      <c r="N734" s="1576"/>
      <c r="O734" s="1378"/>
      <c r="P734" s="1379"/>
      <c r="Q734" s="1379"/>
      <c r="R734" s="1379"/>
      <c r="S734" s="1380"/>
      <c r="T734" s="1378"/>
      <c r="U734" s="1379"/>
      <c r="V734" s="1379"/>
      <c r="W734" s="1380"/>
      <c r="X734" s="1360">
        <f t="shared" si="59"/>
        <v>0</v>
      </c>
      <c r="Y734" s="1361"/>
      <c r="Z734" s="1361"/>
      <c r="AA734" s="1361"/>
      <c r="AB734" s="1362"/>
      <c r="AC734" s="1381"/>
      <c r="AD734" s="1382"/>
      <c r="AE734" s="1382"/>
      <c r="AF734" s="1382"/>
      <c r="AG734" s="1383"/>
      <c r="AH734" s="1363" t="str">
        <f t="shared" si="60"/>
        <v/>
      </c>
      <c r="AI734" s="1364"/>
      <c r="AJ734" s="1365"/>
      <c r="AK734" s="1357"/>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7"/>
      <c r="C735" s="1358"/>
      <c r="D735" s="1358"/>
      <c r="E735" s="1358"/>
      <c r="F735" s="1359"/>
      <c r="G735" s="1366"/>
      <c r="H735" s="1367"/>
      <c r="I735" s="1367"/>
      <c r="J735" s="1368"/>
      <c r="K735" s="1574"/>
      <c r="L735" s="1575"/>
      <c r="M735" s="1575"/>
      <c r="N735" s="1576"/>
      <c r="O735" s="1378"/>
      <c r="P735" s="1379"/>
      <c r="Q735" s="1379"/>
      <c r="R735" s="1379"/>
      <c r="S735" s="1380"/>
      <c r="T735" s="1378"/>
      <c r="U735" s="1379"/>
      <c r="V735" s="1379"/>
      <c r="W735" s="1380"/>
      <c r="X735" s="1360">
        <f t="shared" si="59"/>
        <v>0</v>
      </c>
      <c r="Y735" s="1361"/>
      <c r="Z735" s="1361"/>
      <c r="AA735" s="1361"/>
      <c r="AB735" s="1362"/>
      <c r="AC735" s="1381"/>
      <c r="AD735" s="1382"/>
      <c r="AE735" s="1382"/>
      <c r="AF735" s="1382"/>
      <c r="AG735" s="1383"/>
      <c r="AH735" s="1363" t="str">
        <f t="shared" si="60"/>
        <v/>
      </c>
      <c r="AI735" s="1364"/>
      <c r="AJ735" s="1365"/>
      <c r="AK735" s="1357"/>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7"/>
      <c r="C736" s="1358"/>
      <c r="D736" s="1358"/>
      <c r="E736" s="1358"/>
      <c r="F736" s="1359"/>
      <c r="G736" s="1366"/>
      <c r="H736" s="1367"/>
      <c r="I736" s="1367"/>
      <c r="J736" s="1368"/>
      <c r="K736" s="1574"/>
      <c r="L736" s="1575"/>
      <c r="M736" s="1575"/>
      <c r="N736" s="1576"/>
      <c r="O736" s="1378"/>
      <c r="P736" s="1379"/>
      <c r="Q736" s="1379"/>
      <c r="R736" s="1379"/>
      <c r="S736" s="1380"/>
      <c r="T736" s="1378"/>
      <c r="U736" s="1379"/>
      <c r="V736" s="1379"/>
      <c r="W736" s="1380"/>
      <c r="X736" s="1360">
        <f t="shared" si="59"/>
        <v>0</v>
      </c>
      <c r="Y736" s="1361"/>
      <c r="Z736" s="1361"/>
      <c r="AA736" s="1361"/>
      <c r="AB736" s="1362"/>
      <c r="AC736" s="1381"/>
      <c r="AD736" s="1382"/>
      <c r="AE736" s="1382"/>
      <c r="AF736" s="1382"/>
      <c r="AG736" s="1383"/>
      <c r="AH736" s="1363" t="str">
        <f t="shared" si="60"/>
        <v/>
      </c>
      <c r="AI736" s="1364"/>
      <c r="AJ736" s="1365"/>
      <c r="AK736" s="1357"/>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7"/>
      <c r="C737" s="1358"/>
      <c r="D737" s="1358"/>
      <c r="E737" s="1358"/>
      <c r="F737" s="1359"/>
      <c r="G737" s="1366"/>
      <c r="H737" s="1367"/>
      <c r="I737" s="1367"/>
      <c r="J737" s="1368"/>
      <c r="K737" s="1574"/>
      <c r="L737" s="1575"/>
      <c r="M737" s="1575"/>
      <c r="N737" s="1576"/>
      <c r="O737" s="1378"/>
      <c r="P737" s="1379"/>
      <c r="Q737" s="1379"/>
      <c r="R737" s="1379"/>
      <c r="S737" s="1380"/>
      <c r="T737" s="1378"/>
      <c r="U737" s="1379"/>
      <c r="V737" s="1379"/>
      <c r="W737" s="1380"/>
      <c r="X737" s="1360">
        <f t="shared" si="59"/>
        <v>0</v>
      </c>
      <c r="Y737" s="1361"/>
      <c r="Z737" s="1361"/>
      <c r="AA737" s="1361"/>
      <c r="AB737" s="1362"/>
      <c r="AC737" s="1381"/>
      <c r="AD737" s="1382"/>
      <c r="AE737" s="1382"/>
      <c r="AF737" s="1382"/>
      <c r="AG737" s="1383"/>
      <c r="AH737" s="1363" t="str">
        <f t="shared" si="60"/>
        <v/>
      </c>
      <c r="AI737" s="1364"/>
      <c r="AJ737" s="1365"/>
      <c r="AK737" s="1357"/>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7"/>
      <c r="C738" s="1358"/>
      <c r="D738" s="1358"/>
      <c r="E738" s="1358"/>
      <c r="F738" s="1359"/>
      <c r="G738" s="1366"/>
      <c r="H738" s="1367"/>
      <c r="I738" s="1367"/>
      <c r="J738" s="1368"/>
      <c r="K738" s="1574"/>
      <c r="L738" s="1575"/>
      <c r="M738" s="1575"/>
      <c r="N738" s="1576"/>
      <c r="O738" s="1378"/>
      <c r="P738" s="1379"/>
      <c r="Q738" s="1379"/>
      <c r="R738" s="1379"/>
      <c r="S738" s="1380"/>
      <c r="T738" s="1378"/>
      <c r="U738" s="1379"/>
      <c r="V738" s="1379"/>
      <c r="W738" s="1380"/>
      <c r="X738" s="1360">
        <f t="shared" si="59"/>
        <v>0</v>
      </c>
      <c r="Y738" s="1361"/>
      <c r="Z738" s="1361"/>
      <c r="AA738" s="1361"/>
      <c r="AB738" s="1362"/>
      <c r="AC738" s="1381"/>
      <c r="AD738" s="1382"/>
      <c r="AE738" s="1382"/>
      <c r="AF738" s="1382"/>
      <c r="AG738" s="1383"/>
      <c r="AH738" s="1363" t="str">
        <f t="shared" si="60"/>
        <v/>
      </c>
      <c r="AI738" s="1364"/>
      <c r="AJ738" s="1365"/>
      <c r="AK738" s="1357"/>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7"/>
      <c r="C739" s="1358"/>
      <c r="D739" s="1358"/>
      <c r="E739" s="1358"/>
      <c r="F739" s="1359"/>
      <c r="G739" s="1366"/>
      <c r="H739" s="1367"/>
      <c r="I739" s="1367"/>
      <c r="J739" s="1368"/>
      <c r="K739" s="1574"/>
      <c r="L739" s="1575"/>
      <c r="M739" s="1575"/>
      <c r="N739" s="1576"/>
      <c r="O739" s="1378"/>
      <c r="P739" s="1379"/>
      <c r="Q739" s="1379"/>
      <c r="R739" s="1379"/>
      <c r="S739" s="1380"/>
      <c r="T739" s="1378"/>
      <c r="U739" s="1379"/>
      <c r="V739" s="1379"/>
      <c r="W739" s="1380"/>
      <c r="X739" s="1360">
        <f t="shared" si="59"/>
        <v>0</v>
      </c>
      <c r="Y739" s="1361"/>
      <c r="Z739" s="1361"/>
      <c r="AA739" s="1361"/>
      <c r="AB739" s="1362"/>
      <c r="AC739" s="1381"/>
      <c r="AD739" s="1382"/>
      <c r="AE739" s="1382"/>
      <c r="AF739" s="1382"/>
      <c r="AG739" s="1383"/>
      <c r="AH739" s="1363" t="str">
        <f t="shared" si="60"/>
        <v/>
      </c>
      <c r="AI739" s="1364"/>
      <c r="AJ739" s="1365"/>
      <c r="AK739" s="1357"/>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7"/>
      <c r="C740" s="1358"/>
      <c r="D740" s="1358"/>
      <c r="E740" s="1358"/>
      <c r="F740" s="1359"/>
      <c r="G740" s="1366"/>
      <c r="H740" s="1367"/>
      <c r="I740" s="1367"/>
      <c r="J740" s="1368"/>
      <c r="K740" s="1574"/>
      <c r="L740" s="1575"/>
      <c r="M740" s="1575"/>
      <c r="N740" s="1576"/>
      <c r="O740" s="1378"/>
      <c r="P740" s="1379"/>
      <c r="Q740" s="1379"/>
      <c r="R740" s="1379"/>
      <c r="S740" s="1380"/>
      <c r="T740" s="1378"/>
      <c r="U740" s="1379"/>
      <c r="V740" s="1379"/>
      <c r="W740" s="1380"/>
      <c r="X740" s="1360">
        <f t="shared" si="59"/>
        <v>0</v>
      </c>
      <c r="Y740" s="1361"/>
      <c r="Z740" s="1361"/>
      <c r="AA740" s="1361"/>
      <c r="AB740" s="1362"/>
      <c r="AC740" s="1381"/>
      <c r="AD740" s="1382"/>
      <c r="AE740" s="1382"/>
      <c r="AF740" s="1382"/>
      <c r="AG740" s="1383"/>
      <c r="AH740" s="1363" t="str">
        <f t="shared" si="60"/>
        <v/>
      </c>
      <c r="AI740" s="1364"/>
      <c r="AJ740" s="1365"/>
      <c r="AK740" s="1357"/>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7"/>
      <c r="C741" s="1358"/>
      <c r="D741" s="1358"/>
      <c r="E741" s="1358"/>
      <c r="F741" s="1359"/>
      <c r="G741" s="1366"/>
      <c r="H741" s="1367"/>
      <c r="I741" s="1367"/>
      <c r="J741" s="1368"/>
      <c r="K741" s="1574"/>
      <c r="L741" s="1575"/>
      <c r="M741" s="1575"/>
      <c r="N741" s="1576"/>
      <c r="O741" s="1378"/>
      <c r="P741" s="1379"/>
      <c r="Q741" s="1379"/>
      <c r="R741" s="1379"/>
      <c r="S741" s="1380"/>
      <c r="T741" s="1378"/>
      <c r="U741" s="1379"/>
      <c r="V741" s="1379"/>
      <c r="W741" s="1380"/>
      <c r="X741" s="1360">
        <f t="shared" si="59"/>
        <v>0</v>
      </c>
      <c r="Y741" s="1361"/>
      <c r="Z741" s="1361"/>
      <c r="AA741" s="1361"/>
      <c r="AB741" s="1362"/>
      <c r="AC741" s="1381"/>
      <c r="AD741" s="1382"/>
      <c r="AE741" s="1382"/>
      <c r="AF741" s="1382"/>
      <c r="AG741" s="1383"/>
      <c r="AH741" s="1363" t="str">
        <f t="shared" si="60"/>
        <v/>
      </c>
      <c r="AI741" s="1364"/>
      <c r="AJ741" s="1365"/>
      <c r="AK741" s="1357"/>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7"/>
      <c r="C742" s="1358"/>
      <c r="D742" s="1358"/>
      <c r="E742" s="1358"/>
      <c r="F742" s="1359"/>
      <c r="G742" s="1366"/>
      <c r="H742" s="1367"/>
      <c r="I742" s="1367"/>
      <c r="J742" s="1368"/>
      <c r="K742" s="1574"/>
      <c r="L742" s="1575"/>
      <c r="M742" s="1575"/>
      <c r="N742" s="1576"/>
      <c r="O742" s="1378"/>
      <c r="P742" s="1379"/>
      <c r="Q742" s="1379"/>
      <c r="R742" s="1379"/>
      <c r="S742" s="1380"/>
      <c r="T742" s="1378"/>
      <c r="U742" s="1379"/>
      <c r="V742" s="1379"/>
      <c r="W742" s="1380"/>
      <c r="X742" s="1360">
        <f t="shared" ref="X742:X751" si="61">O742+T742</f>
        <v>0</v>
      </c>
      <c r="Y742" s="1361"/>
      <c r="Z742" s="1361"/>
      <c r="AA742" s="1361"/>
      <c r="AB742" s="1362"/>
      <c r="AC742" s="1381"/>
      <c r="AD742" s="1382"/>
      <c r="AE742" s="1382"/>
      <c r="AF742" s="1382"/>
      <c r="AG742" s="1383"/>
      <c r="AH742" s="1363" t="str">
        <f t="shared" si="60"/>
        <v/>
      </c>
      <c r="AI742" s="1364"/>
      <c r="AJ742" s="1365"/>
      <c r="AK742" s="1357"/>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7"/>
      <c r="C743" s="1358"/>
      <c r="D743" s="1358"/>
      <c r="E743" s="1358"/>
      <c r="F743" s="1359"/>
      <c r="G743" s="1366"/>
      <c r="H743" s="1367"/>
      <c r="I743" s="1367"/>
      <c r="J743" s="1368"/>
      <c r="K743" s="1574"/>
      <c r="L743" s="1575"/>
      <c r="M743" s="1575"/>
      <c r="N743" s="1576"/>
      <c r="O743" s="1378"/>
      <c r="P743" s="1379"/>
      <c r="Q743" s="1379"/>
      <c r="R743" s="1379"/>
      <c r="S743" s="1380"/>
      <c r="T743" s="1378"/>
      <c r="U743" s="1379"/>
      <c r="V743" s="1379"/>
      <c r="W743" s="1380"/>
      <c r="X743" s="1360">
        <f t="shared" si="61"/>
        <v>0</v>
      </c>
      <c r="Y743" s="1361"/>
      <c r="Z743" s="1361"/>
      <c r="AA743" s="1361"/>
      <c r="AB743" s="1362"/>
      <c r="AC743" s="1381"/>
      <c r="AD743" s="1382"/>
      <c r="AE743" s="1382"/>
      <c r="AF743" s="1382"/>
      <c r="AG743" s="1383"/>
      <c r="AH743" s="1363" t="str">
        <f t="shared" si="60"/>
        <v/>
      </c>
      <c r="AI743" s="1364"/>
      <c r="AJ743" s="1365"/>
      <c r="AK743" s="1357"/>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7"/>
      <c r="C744" s="1358"/>
      <c r="D744" s="1358"/>
      <c r="E744" s="1358"/>
      <c r="F744" s="1359"/>
      <c r="G744" s="1366"/>
      <c r="H744" s="1367"/>
      <c r="I744" s="1367"/>
      <c r="J744" s="1368"/>
      <c r="K744" s="1574"/>
      <c r="L744" s="1575"/>
      <c r="M744" s="1575"/>
      <c r="N744" s="1576"/>
      <c r="O744" s="1378"/>
      <c r="P744" s="1379"/>
      <c r="Q744" s="1379"/>
      <c r="R744" s="1379"/>
      <c r="S744" s="1380"/>
      <c r="T744" s="1378"/>
      <c r="U744" s="1379"/>
      <c r="V744" s="1379"/>
      <c r="W744" s="1380"/>
      <c r="X744" s="1360">
        <f t="shared" si="61"/>
        <v>0</v>
      </c>
      <c r="Y744" s="1361"/>
      <c r="Z744" s="1361"/>
      <c r="AA744" s="1361"/>
      <c r="AB744" s="1362"/>
      <c r="AC744" s="1381"/>
      <c r="AD744" s="1382"/>
      <c r="AE744" s="1382"/>
      <c r="AF744" s="1382"/>
      <c r="AG744" s="1383"/>
      <c r="AH744" s="1363" t="str">
        <f t="shared" si="60"/>
        <v/>
      </c>
      <c r="AI744" s="1364"/>
      <c r="AJ744" s="1365"/>
      <c r="AK744" s="1357"/>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7"/>
      <c r="C745" s="1358"/>
      <c r="D745" s="1358"/>
      <c r="E745" s="1358"/>
      <c r="F745" s="1359"/>
      <c r="G745" s="1366"/>
      <c r="H745" s="1367"/>
      <c r="I745" s="1367"/>
      <c r="J745" s="1368"/>
      <c r="K745" s="1574"/>
      <c r="L745" s="1575"/>
      <c r="M745" s="1575"/>
      <c r="N745" s="1576"/>
      <c r="O745" s="1378"/>
      <c r="P745" s="1379"/>
      <c r="Q745" s="1379"/>
      <c r="R745" s="1379"/>
      <c r="S745" s="1380"/>
      <c r="T745" s="1378"/>
      <c r="U745" s="1379"/>
      <c r="V745" s="1379"/>
      <c r="W745" s="1380"/>
      <c r="X745" s="1360">
        <f t="shared" si="61"/>
        <v>0</v>
      </c>
      <c r="Y745" s="1361"/>
      <c r="Z745" s="1361"/>
      <c r="AA745" s="1361"/>
      <c r="AB745" s="1362"/>
      <c r="AC745" s="1381"/>
      <c r="AD745" s="1382"/>
      <c r="AE745" s="1382"/>
      <c r="AF745" s="1382"/>
      <c r="AG745" s="1383"/>
      <c r="AH745" s="1363" t="str">
        <f t="shared" si="60"/>
        <v/>
      </c>
      <c r="AI745" s="1364"/>
      <c r="AJ745" s="1365"/>
      <c r="AK745" s="1357"/>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7"/>
      <c r="C746" s="1358"/>
      <c r="D746" s="1358"/>
      <c r="E746" s="1358"/>
      <c r="F746" s="1359"/>
      <c r="G746" s="1366"/>
      <c r="H746" s="1367"/>
      <c r="I746" s="1367"/>
      <c r="J746" s="1368"/>
      <c r="K746" s="1574"/>
      <c r="L746" s="1575"/>
      <c r="M746" s="1575"/>
      <c r="N746" s="1576"/>
      <c r="O746" s="1378"/>
      <c r="P746" s="1379"/>
      <c r="Q746" s="1379"/>
      <c r="R746" s="1379"/>
      <c r="S746" s="1380"/>
      <c r="T746" s="1378"/>
      <c r="U746" s="1379"/>
      <c r="V746" s="1379"/>
      <c r="W746" s="1380"/>
      <c r="X746" s="1360">
        <f t="shared" si="61"/>
        <v>0</v>
      </c>
      <c r="Y746" s="1361"/>
      <c r="Z746" s="1361"/>
      <c r="AA746" s="1361"/>
      <c r="AB746" s="1362"/>
      <c r="AC746" s="1381"/>
      <c r="AD746" s="1382"/>
      <c r="AE746" s="1382"/>
      <c r="AF746" s="1382"/>
      <c r="AG746" s="1383"/>
      <c r="AH746" s="1363" t="str">
        <f t="shared" si="60"/>
        <v/>
      </c>
      <c r="AI746" s="1364"/>
      <c r="AJ746" s="1365"/>
      <c r="AK746" s="1357"/>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7"/>
      <c r="C747" s="1358"/>
      <c r="D747" s="1358"/>
      <c r="E747" s="1358"/>
      <c r="F747" s="1359"/>
      <c r="G747" s="1366"/>
      <c r="H747" s="1367"/>
      <c r="I747" s="1367"/>
      <c r="J747" s="1368"/>
      <c r="K747" s="1574"/>
      <c r="L747" s="1575"/>
      <c r="M747" s="1575"/>
      <c r="N747" s="1576"/>
      <c r="O747" s="1378"/>
      <c r="P747" s="1379"/>
      <c r="Q747" s="1379"/>
      <c r="R747" s="1379"/>
      <c r="S747" s="1380"/>
      <c r="T747" s="1378"/>
      <c r="U747" s="1379"/>
      <c r="V747" s="1379"/>
      <c r="W747" s="1380"/>
      <c r="X747" s="1360">
        <f t="shared" si="61"/>
        <v>0</v>
      </c>
      <c r="Y747" s="1361"/>
      <c r="Z747" s="1361"/>
      <c r="AA747" s="1361"/>
      <c r="AB747" s="1362"/>
      <c r="AC747" s="1381"/>
      <c r="AD747" s="1382"/>
      <c r="AE747" s="1382"/>
      <c r="AF747" s="1382"/>
      <c r="AG747" s="1383"/>
      <c r="AH747" s="1363" t="str">
        <f t="shared" si="60"/>
        <v/>
      </c>
      <c r="AI747" s="1364"/>
      <c r="AJ747" s="1365"/>
      <c r="AK747" s="1357"/>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7"/>
      <c r="C748" s="1358"/>
      <c r="D748" s="1358"/>
      <c r="E748" s="1358"/>
      <c r="F748" s="1359"/>
      <c r="G748" s="1366"/>
      <c r="H748" s="1367"/>
      <c r="I748" s="1367"/>
      <c r="J748" s="1368"/>
      <c r="K748" s="1574"/>
      <c r="L748" s="1575"/>
      <c r="M748" s="1575"/>
      <c r="N748" s="1576"/>
      <c r="O748" s="1378"/>
      <c r="P748" s="1379"/>
      <c r="Q748" s="1379"/>
      <c r="R748" s="1379"/>
      <c r="S748" s="1380"/>
      <c r="T748" s="1378"/>
      <c r="U748" s="1379"/>
      <c r="V748" s="1379"/>
      <c r="W748" s="1380"/>
      <c r="X748" s="1360">
        <f t="shared" si="61"/>
        <v>0</v>
      </c>
      <c r="Y748" s="1361"/>
      <c r="Z748" s="1361"/>
      <c r="AA748" s="1361"/>
      <c r="AB748" s="1362"/>
      <c r="AC748" s="1381"/>
      <c r="AD748" s="1382"/>
      <c r="AE748" s="1382"/>
      <c r="AF748" s="1382"/>
      <c r="AG748" s="1383"/>
      <c r="AH748" s="1363" t="str">
        <f t="shared" si="60"/>
        <v/>
      </c>
      <c r="AI748" s="1364"/>
      <c r="AJ748" s="1365"/>
      <c r="AK748" s="1357"/>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7"/>
      <c r="C749" s="1358"/>
      <c r="D749" s="1358"/>
      <c r="E749" s="1358"/>
      <c r="F749" s="1359"/>
      <c r="G749" s="1366"/>
      <c r="H749" s="1367"/>
      <c r="I749" s="1367"/>
      <c r="J749" s="1368"/>
      <c r="K749" s="1574"/>
      <c r="L749" s="1575"/>
      <c r="M749" s="1575"/>
      <c r="N749" s="1576"/>
      <c r="O749" s="1378"/>
      <c r="P749" s="1379"/>
      <c r="Q749" s="1379"/>
      <c r="R749" s="1379"/>
      <c r="S749" s="1380"/>
      <c r="T749" s="1378"/>
      <c r="U749" s="1379"/>
      <c r="V749" s="1379"/>
      <c r="W749" s="1380"/>
      <c r="X749" s="1360">
        <f t="shared" si="61"/>
        <v>0</v>
      </c>
      <c r="Y749" s="1361"/>
      <c r="Z749" s="1361"/>
      <c r="AA749" s="1361"/>
      <c r="AB749" s="1362"/>
      <c r="AC749" s="1381"/>
      <c r="AD749" s="1382"/>
      <c r="AE749" s="1382"/>
      <c r="AF749" s="1382"/>
      <c r="AG749" s="1383"/>
      <c r="AH749" s="1363" t="str">
        <f t="shared" si="60"/>
        <v/>
      </c>
      <c r="AI749" s="1364"/>
      <c r="AJ749" s="1365"/>
      <c r="AK749" s="1357"/>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7"/>
      <c r="C750" s="1358"/>
      <c r="D750" s="1358"/>
      <c r="E750" s="1358"/>
      <c r="F750" s="1359"/>
      <c r="G750" s="1366"/>
      <c r="H750" s="1367"/>
      <c r="I750" s="1367"/>
      <c r="J750" s="1368"/>
      <c r="K750" s="1574"/>
      <c r="L750" s="1575"/>
      <c r="M750" s="1575"/>
      <c r="N750" s="1576"/>
      <c r="O750" s="1378"/>
      <c r="P750" s="1379"/>
      <c r="Q750" s="1379"/>
      <c r="R750" s="1379"/>
      <c r="S750" s="1380"/>
      <c r="T750" s="1378"/>
      <c r="U750" s="1379"/>
      <c r="V750" s="1379"/>
      <c r="W750" s="1380"/>
      <c r="X750" s="1360">
        <f t="shared" si="61"/>
        <v>0</v>
      </c>
      <c r="Y750" s="1361"/>
      <c r="Z750" s="1361"/>
      <c r="AA750" s="1361"/>
      <c r="AB750" s="1362"/>
      <c r="AC750" s="1381"/>
      <c r="AD750" s="1382"/>
      <c r="AE750" s="1382"/>
      <c r="AF750" s="1382"/>
      <c r="AG750" s="1383"/>
      <c r="AH750" s="1363" t="str">
        <f t="shared" si="60"/>
        <v/>
      </c>
      <c r="AI750" s="1364"/>
      <c r="AJ750" s="1365"/>
      <c r="AK750" s="1357"/>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7"/>
      <c r="C751" s="1358"/>
      <c r="D751" s="1358"/>
      <c r="E751" s="1358"/>
      <c r="F751" s="1359"/>
      <c r="G751" s="1366"/>
      <c r="H751" s="1367"/>
      <c r="I751" s="1367"/>
      <c r="J751" s="1368"/>
      <c r="K751" s="1574"/>
      <c r="L751" s="1575"/>
      <c r="M751" s="1575"/>
      <c r="N751" s="1576"/>
      <c r="O751" s="1378"/>
      <c r="P751" s="1379"/>
      <c r="Q751" s="1379"/>
      <c r="R751" s="1379"/>
      <c r="S751" s="1380"/>
      <c r="T751" s="1378"/>
      <c r="U751" s="1379"/>
      <c r="V751" s="1379"/>
      <c r="W751" s="1380"/>
      <c r="X751" s="1360">
        <f t="shared" si="61"/>
        <v>0</v>
      </c>
      <c r="Y751" s="1361"/>
      <c r="Z751" s="1361"/>
      <c r="AA751" s="1361"/>
      <c r="AB751" s="1362"/>
      <c r="AC751" s="1381"/>
      <c r="AD751" s="1382"/>
      <c r="AE751" s="1382"/>
      <c r="AF751" s="1382"/>
      <c r="AG751" s="1383"/>
      <c r="AH751" s="1363" t="str">
        <f t="shared" si="60"/>
        <v/>
      </c>
      <c r="AI751" s="1364"/>
      <c r="AJ751" s="1365"/>
      <c r="AK751" s="1357"/>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7"/>
      <c r="C752" s="1358"/>
      <c r="D752" s="1358"/>
      <c r="E752" s="1358"/>
      <c r="F752" s="1359"/>
      <c r="G752" s="1366"/>
      <c r="H752" s="1367"/>
      <c r="I752" s="1367"/>
      <c r="J752" s="1368"/>
      <c r="K752" s="1574"/>
      <c r="L752" s="1575"/>
      <c r="M752" s="1575"/>
      <c r="N752" s="1576"/>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5" t="s">
        <v>125</v>
      </c>
      <c r="C753" s="1596"/>
      <c r="D753" s="1596"/>
      <c r="E753" s="1596"/>
      <c r="F753" s="1597"/>
      <c r="G753" s="1775">
        <f>SUM(G718:G752)</f>
        <v>149</v>
      </c>
      <c r="H753" s="1776"/>
      <c r="I753" s="1776"/>
      <c r="J753" s="1777"/>
      <c r="K753" s="937" t="s">
        <v>124</v>
      </c>
      <c r="L753" s="5"/>
      <c r="M753" s="5"/>
      <c r="N753" s="46"/>
      <c r="O753" s="1360">
        <f>SUMPRODUCT(G718:G752,O718:O752)</f>
        <v>245727</v>
      </c>
      <c r="P753" s="1361"/>
      <c r="Q753" s="1361"/>
      <c r="R753" s="1361"/>
      <c r="S753" s="1362"/>
      <c r="T753"/>
      <c r="U753"/>
      <c r="V753"/>
      <c r="W753"/>
      <c r="X753" s="939" t="s">
        <v>913</v>
      </c>
      <c r="Y753" s="938"/>
      <c r="Z753" s="938"/>
      <c r="AA753" s="938"/>
      <c r="AB753" s="940"/>
      <c r="AC753" s="1727">
        <f>BI703</f>
        <v>0.49932885906040264</v>
      </c>
      <c r="AD753" s="1728"/>
      <c r="AE753" s="1728"/>
      <c r="AF753" s="1728"/>
      <c r="AG753" s="1729"/>
      <c r="AH753" s="1727">
        <f>IFERROR(BV703,"")</f>
        <v>0.499380502037234</v>
      </c>
      <c r="AI753" s="1728"/>
      <c r="AJ753" s="172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90">
        <f>CS634</f>
        <v>315</v>
      </c>
      <c r="P756" s="1390"/>
      <c r="Q756" s="1390"/>
      <c r="R756" s="1390"/>
      <c r="S756" s="1004"/>
      <c r="T756" s="1004"/>
      <c r="U756" s="118" t="s">
        <v>2177</v>
      </c>
      <c r="V756" s="1067"/>
      <c r="W756" s="1067"/>
      <c r="X756" s="1067"/>
      <c r="Y756" s="1068"/>
      <c r="Z756" s="1068"/>
      <c r="AA756" s="1068"/>
      <c r="AB756" s="1068"/>
      <c r="AC756" s="1067"/>
      <c r="AD756" s="1067"/>
      <c r="AE756" s="1067"/>
      <c r="AF756" s="1067"/>
      <c r="AG756" s="1767"/>
      <c r="AH756" s="1767"/>
      <c r="AI756" s="1767"/>
      <c r="AJ756" s="176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8" t="s">
        <v>598</v>
      </c>
      <c r="AE759" s="1778"/>
      <c r="AF759" s="177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9" t="s">
        <v>389</v>
      </c>
      <c r="K769" s="1370"/>
      <c r="L769" s="1370"/>
      <c r="M769" s="1370"/>
      <c r="N769" s="1371"/>
      <c r="O769" s="1773" t="s">
        <v>285</v>
      </c>
      <c r="P769" s="1773"/>
      <c r="Q769" s="1773"/>
      <c r="R769" s="1773"/>
      <c r="S769" s="1773"/>
      <c r="T769" s="1384" t="s">
        <v>1863</v>
      </c>
      <c r="U769" s="1385"/>
      <c r="V769" s="1385"/>
      <c r="W769" s="1386"/>
      <c r="X769" s="1579" t="s">
        <v>454</v>
      </c>
      <c r="Y769" s="1370"/>
      <c r="Z769" s="1370"/>
      <c r="AA769" s="1370"/>
      <c r="AB769" s="1371"/>
      <c r="AC769" s="1579" t="s">
        <v>286</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2"/>
      <c r="K770" s="1373"/>
      <c r="L770" s="1373"/>
      <c r="M770" s="1373"/>
      <c r="N770" s="1374"/>
      <c r="O770" s="1773"/>
      <c r="P770" s="1773"/>
      <c r="Q770" s="1773"/>
      <c r="R770" s="1773"/>
      <c r="S770" s="1773"/>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2"/>
      <c r="K771" s="1373"/>
      <c r="L771" s="1373"/>
      <c r="M771" s="1373"/>
      <c r="N771" s="1374"/>
      <c r="O771" s="1773"/>
      <c r="P771" s="1773"/>
      <c r="Q771" s="1773"/>
      <c r="R771" s="1773"/>
      <c r="S771" s="1773"/>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5"/>
      <c r="K772" s="1376"/>
      <c r="L772" s="1376"/>
      <c r="M772" s="1376"/>
      <c r="N772" s="1377"/>
      <c r="O772" s="1773"/>
      <c r="P772" s="1773"/>
      <c r="Q772" s="1773"/>
      <c r="R772" s="1773"/>
      <c r="S772" s="1773"/>
      <c r="T772" s="1603"/>
      <c r="U772" s="1604"/>
      <c r="V772" s="1604"/>
      <c r="W772" s="1605"/>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7" t="s">
        <v>163</v>
      </c>
      <c r="K773" s="1358"/>
      <c r="L773" s="1358"/>
      <c r="M773" s="1358"/>
      <c r="N773" s="1359"/>
      <c r="O773" s="1466">
        <v>1</v>
      </c>
      <c r="P773" s="1466"/>
      <c r="Q773" s="1466"/>
      <c r="R773" s="1466"/>
      <c r="S773" s="1466"/>
      <c r="T773" s="1574">
        <v>792</v>
      </c>
      <c r="U773" s="1575"/>
      <c r="V773" s="1575"/>
      <c r="W773" s="1576"/>
      <c r="X773" s="1378"/>
      <c r="Y773" s="1379"/>
      <c r="Z773" s="1379"/>
      <c r="AA773" s="1379"/>
      <c r="AB773" s="1380"/>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7"/>
      <c r="K774" s="1358"/>
      <c r="L774" s="1358"/>
      <c r="M774" s="1358"/>
      <c r="N774" s="1359"/>
      <c r="O774" s="1466"/>
      <c r="P774" s="1466"/>
      <c r="Q774" s="1466"/>
      <c r="R774" s="1466"/>
      <c r="S774" s="1466"/>
      <c r="T774" s="1574"/>
      <c r="U774" s="1575"/>
      <c r="V774" s="1575"/>
      <c r="W774" s="1576"/>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7"/>
      <c r="K775" s="1358"/>
      <c r="L775" s="1358"/>
      <c r="M775" s="1358"/>
      <c r="N775" s="1359"/>
      <c r="O775" s="1466"/>
      <c r="P775" s="1466"/>
      <c r="Q775" s="1466"/>
      <c r="R775" s="1466"/>
      <c r="S775" s="1466"/>
      <c r="T775" s="1574"/>
      <c r="U775" s="1575"/>
      <c r="V775" s="1575"/>
      <c r="W775" s="1576"/>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7"/>
      <c r="K776" s="1358"/>
      <c r="L776" s="1358"/>
      <c r="M776" s="1358"/>
      <c r="N776" s="1359"/>
      <c r="O776" s="1466"/>
      <c r="P776" s="1466"/>
      <c r="Q776" s="1466"/>
      <c r="R776" s="1466"/>
      <c r="S776" s="1466"/>
      <c r="T776" s="1574"/>
      <c r="U776" s="1575"/>
      <c r="V776" s="1575"/>
      <c r="W776" s="1576"/>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5" t="s">
        <v>125</v>
      </c>
      <c r="K777" s="1596"/>
      <c r="L777" s="1596"/>
      <c r="M777" s="1596"/>
      <c r="N777" s="1597"/>
      <c r="O777" s="1393">
        <f>SUM(O773:S776)</f>
        <v>1</v>
      </c>
      <c r="P777" s="1512"/>
      <c r="Q777" s="1512"/>
      <c r="R777" s="1512"/>
      <c r="S777" s="1394"/>
      <c r="X777" s="1595" t="s">
        <v>124</v>
      </c>
      <c r="Y777" s="1596"/>
      <c r="Z777" s="1596"/>
      <c r="AA777" s="1596"/>
      <c r="AB777" s="1597"/>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675</v>
      </c>
      <c r="K779" s="1417"/>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9" t="s">
        <v>389</v>
      </c>
      <c r="K783" s="1370"/>
      <c r="L783" s="1370"/>
      <c r="M783" s="1370"/>
      <c r="N783" s="1371"/>
      <c r="O783" s="1773" t="s">
        <v>285</v>
      </c>
      <c r="P783" s="1773"/>
      <c r="Q783" s="1773"/>
      <c r="R783" s="1773"/>
      <c r="S783" s="1773"/>
      <c r="T783" s="1384" t="s">
        <v>1863</v>
      </c>
      <c r="U783" s="1385"/>
      <c r="V783" s="1385"/>
      <c r="W783" s="1386"/>
      <c r="X783" s="1579" t="s">
        <v>454</v>
      </c>
      <c r="Y783" s="1370"/>
      <c r="Z783" s="1370"/>
      <c r="AA783" s="1370"/>
      <c r="AB783" s="1371"/>
      <c r="AC783" s="1579" t="s">
        <v>286</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2"/>
      <c r="K784" s="1373"/>
      <c r="L784" s="1373"/>
      <c r="M784" s="1373"/>
      <c r="N784" s="1374"/>
      <c r="O784" s="1773"/>
      <c r="P784" s="1773"/>
      <c r="Q784" s="1773"/>
      <c r="R784" s="1773"/>
      <c r="S784" s="1773"/>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2"/>
      <c r="K785" s="1373"/>
      <c r="L785" s="1373"/>
      <c r="M785" s="1373"/>
      <c r="N785" s="1374"/>
      <c r="O785" s="1773"/>
      <c r="P785" s="1773"/>
      <c r="Q785" s="1773"/>
      <c r="R785" s="1773"/>
      <c r="S785" s="1773"/>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5"/>
      <c r="K786" s="1376"/>
      <c r="L786" s="1376"/>
      <c r="M786" s="1376"/>
      <c r="N786" s="1377"/>
      <c r="O786" s="1773"/>
      <c r="P786" s="1773"/>
      <c r="Q786" s="1773"/>
      <c r="R786" s="1773"/>
      <c r="S786" s="1773"/>
      <c r="T786" s="1603"/>
      <c r="U786" s="1604"/>
      <c r="V786" s="1604"/>
      <c r="W786" s="1605"/>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7"/>
      <c r="K787" s="1358"/>
      <c r="L787" s="1358"/>
      <c r="M787" s="1358"/>
      <c r="N787" s="1359"/>
      <c r="O787" s="1466"/>
      <c r="P787" s="1466"/>
      <c r="Q787" s="1466"/>
      <c r="R787" s="1466"/>
      <c r="S787" s="1466"/>
      <c r="T787" s="1574"/>
      <c r="U787" s="1575"/>
      <c r="V787" s="1575"/>
      <c r="W787" s="1576"/>
      <c r="X787" s="1378"/>
      <c r="Y787" s="1379"/>
      <c r="Z787" s="1379"/>
      <c r="AA787" s="1379"/>
      <c r="AB787" s="1380"/>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7"/>
      <c r="K788" s="1358"/>
      <c r="L788" s="1358"/>
      <c r="M788" s="1358"/>
      <c r="N788" s="1359"/>
      <c r="O788" s="1466"/>
      <c r="P788" s="1466"/>
      <c r="Q788" s="1466"/>
      <c r="R788" s="1466"/>
      <c r="S788" s="1466"/>
      <c r="T788" s="1574"/>
      <c r="U788" s="1575"/>
      <c r="V788" s="1575"/>
      <c r="W788" s="1576"/>
      <c r="X788" s="1378"/>
      <c r="Y788" s="1379"/>
      <c r="Z788" s="1379"/>
      <c r="AA788" s="1379"/>
      <c r="AB788" s="1380"/>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7"/>
      <c r="K789" s="1358"/>
      <c r="L789" s="1358"/>
      <c r="M789" s="1358"/>
      <c r="N789" s="1359"/>
      <c r="O789" s="1466"/>
      <c r="P789" s="1466"/>
      <c r="Q789" s="1466"/>
      <c r="R789" s="1466"/>
      <c r="S789" s="1466"/>
      <c r="T789" s="1574"/>
      <c r="U789" s="1575"/>
      <c r="V789" s="1575"/>
      <c r="W789" s="1576"/>
      <c r="X789" s="1378"/>
      <c r="Y789" s="1379"/>
      <c r="Z789" s="1379"/>
      <c r="AA789" s="1379"/>
      <c r="AB789" s="1380"/>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7"/>
      <c r="K790" s="1358"/>
      <c r="L790" s="1358"/>
      <c r="M790" s="1358"/>
      <c r="N790" s="1359"/>
      <c r="O790" s="1466"/>
      <c r="P790" s="1466"/>
      <c r="Q790" s="1466"/>
      <c r="R790" s="1466"/>
      <c r="S790" s="1466"/>
      <c r="T790" s="1574"/>
      <c r="U790" s="1575"/>
      <c r="V790" s="1575"/>
      <c r="W790" s="1576"/>
      <c r="X790" s="1378"/>
      <c r="Y790" s="1379"/>
      <c r="Z790" s="1379"/>
      <c r="AA790" s="1379"/>
      <c r="AB790" s="1380"/>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7"/>
      <c r="K791" s="1358"/>
      <c r="L791" s="1358"/>
      <c r="M791" s="1358"/>
      <c r="N791" s="1359"/>
      <c r="O791" s="1466"/>
      <c r="P791" s="1466"/>
      <c r="Q791" s="1466"/>
      <c r="R791" s="1466"/>
      <c r="S791" s="1466"/>
      <c r="T791" s="1574"/>
      <c r="U791" s="1575"/>
      <c r="V791" s="1575"/>
      <c r="W791" s="1576"/>
      <c r="X791" s="1378"/>
      <c r="Y791" s="1379"/>
      <c r="Z791" s="1379"/>
      <c r="AA791" s="1379"/>
      <c r="AB791" s="1380"/>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7"/>
      <c r="K792" s="1358"/>
      <c r="L792" s="1358"/>
      <c r="M792" s="1358"/>
      <c r="N792" s="1359"/>
      <c r="O792" s="1466"/>
      <c r="P792" s="1466"/>
      <c r="Q792" s="1466"/>
      <c r="R792" s="1466"/>
      <c r="S792" s="1466"/>
      <c r="T792" s="1574"/>
      <c r="U792" s="1575"/>
      <c r="V792" s="1575"/>
      <c r="W792" s="1576"/>
      <c r="X792" s="1378"/>
      <c r="Y792" s="1379"/>
      <c r="Z792" s="1379"/>
      <c r="AA792" s="1379"/>
      <c r="AB792" s="1380"/>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7"/>
      <c r="K793" s="1358"/>
      <c r="L793" s="1358"/>
      <c r="M793" s="1358"/>
      <c r="N793" s="1359"/>
      <c r="O793" s="1466"/>
      <c r="P793" s="1466"/>
      <c r="Q793" s="1466"/>
      <c r="R793" s="1466"/>
      <c r="S793" s="1466"/>
      <c r="T793" s="1574"/>
      <c r="U793" s="1575"/>
      <c r="V793" s="1575"/>
      <c r="W793" s="1576"/>
      <c r="X793" s="1378"/>
      <c r="Y793" s="1379"/>
      <c r="Z793" s="1379"/>
      <c r="AA793" s="1379"/>
      <c r="AB793" s="1380"/>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7"/>
      <c r="K794" s="1358"/>
      <c r="L794" s="1358"/>
      <c r="M794" s="1358"/>
      <c r="N794" s="1359"/>
      <c r="O794" s="1466"/>
      <c r="P794" s="1466"/>
      <c r="Q794" s="1466"/>
      <c r="R794" s="1466"/>
      <c r="S794" s="1466"/>
      <c r="T794" s="1574"/>
      <c r="U794" s="1575"/>
      <c r="V794" s="1575"/>
      <c r="W794" s="1576"/>
      <c r="X794" s="1378"/>
      <c r="Y794" s="1379"/>
      <c r="Z794" s="1379"/>
      <c r="AA794" s="1379"/>
      <c r="AB794" s="1380"/>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7"/>
      <c r="K795" s="1358"/>
      <c r="L795" s="1358"/>
      <c r="M795" s="1358"/>
      <c r="N795" s="1359"/>
      <c r="O795" s="1466"/>
      <c r="P795" s="1466"/>
      <c r="Q795" s="1466"/>
      <c r="R795" s="1466"/>
      <c r="S795" s="1466"/>
      <c r="T795" s="1574"/>
      <c r="U795" s="1575"/>
      <c r="V795" s="1575"/>
      <c r="W795" s="1576"/>
      <c r="X795" s="1378"/>
      <c r="Y795" s="1379"/>
      <c r="Z795" s="1379"/>
      <c r="AA795" s="1379"/>
      <c r="AB795" s="1380"/>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7"/>
      <c r="K796" s="1358"/>
      <c r="L796" s="1358"/>
      <c r="M796" s="1358"/>
      <c r="N796" s="1359"/>
      <c r="O796" s="1466"/>
      <c r="P796" s="1466"/>
      <c r="Q796" s="1466"/>
      <c r="R796" s="1466"/>
      <c r="S796" s="1466"/>
      <c r="T796" s="1574"/>
      <c r="U796" s="1575"/>
      <c r="V796" s="1575"/>
      <c r="W796" s="1576"/>
      <c r="X796" s="1378"/>
      <c r="Y796" s="1379"/>
      <c r="Z796" s="1379"/>
      <c r="AA796" s="1379"/>
      <c r="AB796" s="1380"/>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736" t="s">
        <v>476</v>
      </c>
      <c r="BO796" s="1737"/>
      <c r="BP796" s="3"/>
      <c r="BQ796" s="3"/>
      <c r="BR796" s="3"/>
      <c r="BS796" s="14" t="s">
        <v>640</v>
      </c>
      <c r="BT796" s="14"/>
      <c r="BU796" s="14"/>
      <c r="BV796" s="14"/>
      <c r="BW796" s="14"/>
      <c r="BX796" s="14"/>
      <c r="BY796" s="14"/>
      <c r="BZ796" s="14"/>
      <c r="CA796" s="14"/>
      <c r="CB796" s="1733" t="str">
        <f>T189</f>
        <v>Contra Costa</v>
      </c>
      <c r="CC796" s="1734"/>
      <c r="CD796" s="1734"/>
      <c r="CE796" s="1734"/>
      <c r="CF796" s="1734"/>
      <c r="CG796" s="1734"/>
      <c r="CH796" s="173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5" t="s">
        <v>125</v>
      </c>
      <c r="K797" s="1596"/>
      <c r="L797" s="1596"/>
      <c r="M797" s="1596"/>
      <c r="N797" s="1597"/>
      <c r="O797" s="1606">
        <f>SUM(O787:S796)</f>
        <v>0</v>
      </c>
      <c r="P797" s="1606"/>
      <c r="Q797" s="1606"/>
      <c r="R797" s="1606"/>
      <c r="S797" s="1606"/>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9" t="str">
        <f>IF(O797&lt;&gt;AG438,"! Total market rate units in the Unit Mix Table above does not match the number of  market rate units on row #"&amp;TEXT(ROW(D438),"#"),"")</f>
        <v/>
      </c>
      <c r="D798" s="1449"/>
      <c r="E798" s="1449"/>
      <c r="F798" s="1449"/>
      <c r="G798" s="1449"/>
      <c r="H798" s="1449"/>
      <c r="I798" s="1449"/>
      <c r="J798" s="1449"/>
      <c r="K798" s="1449"/>
      <c r="L798" s="1449"/>
      <c r="M798" s="1449"/>
      <c r="N798" s="1449"/>
      <c r="O798" s="1449"/>
      <c r="P798" s="1449"/>
      <c r="Q798" s="1449"/>
      <c r="R798" s="1449"/>
      <c r="S798" s="1449"/>
      <c r="T798" s="1449"/>
      <c r="U798" s="1449"/>
      <c r="V798" s="1449"/>
      <c r="W798" s="1449"/>
      <c r="X798" s="1449"/>
      <c r="Y798" s="1449"/>
      <c r="Z798" s="1449"/>
      <c r="AA798" s="1449"/>
      <c r="AB798" s="1449"/>
      <c r="AC798" s="1449"/>
      <c r="AD798" s="1449"/>
      <c r="AE798" s="1449"/>
      <c r="AF798" s="1449"/>
      <c r="AG798" s="1449"/>
      <c r="AH798" s="1449"/>
      <c r="AI798" s="1449"/>
      <c r="AJ798" s="1449"/>
      <c r="AK798" s="1449"/>
      <c r="AL798" s="1449"/>
      <c r="AM798" s="1449"/>
      <c r="AN798" s="144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9"/>
      <c r="D799" s="1449"/>
      <c r="E799" s="1449"/>
      <c r="F799" s="1449"/>
      <c r="G799" s="1449"/>
      <c r="H799" s="1449"/>
      <c r="I799" s="1449"/>
      <c r="J799" s="1449"/>
      <c r="K799" s="1449"/>
      <c r="L799" s="1449"/>
      <c r="M799" s="1449"/>
      <c r="N799" s="1449"/>
      <c r="O799" s="1449"/>
      <c r="P799" s="1449"/>
      <c r="Q799" s="1449"/>
      <c r="R799" s="1449"/>
      <c r="S799" s="1449"/>
      <c r="T799" s="1449"/>
      <c r="U799" s="1449"/>
      <c r="V799" s="1449"/>
      <c r="W799" s="1449"/>
      <c r="X799" s="1449"/>
      <c r="Y799" s="1449"/>
      <c r="Z799" s="1449"/>
      <c r="AA799" s="1449"/>
      <c r="AB799" s="1449"/>
      <c r="AC799" s="1449"/>
      <c r="AD799" s="1449"/>
      <c r="AE799" s="1449"/>
      <c r="AF799" s="1449"/>
      <c r="AG799" s="1449"/>
      <c r="AH799" s="1449"/>
      <c r="AI799" s="1449"/>
      <c r="AJ799" s="1449"/>
      <c r="AK799" s="1449"/>
      <c r="AL799" s="1449"/>
      <c r="AM799" s="1449"/>
      <c r="AN799" s="144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245727</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2948724</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5"/>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0"/>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9"/>
      <c r="AA808" s="1610"/>
      <c r="AB808" s="1610"/>
      <c r="AC808" s="1610"/>
      <c r="AD808" s="1610"/>
      <c r="AE808" s="16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0</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1">
        <v>15000</v>
      </c>
      <c r="AA813" s="1582"/>
      <c r="AB813" s="1582"/>
      <c r="AC813" s="1582"/>
      <c r="AD813" s="1582"/>
      <c r="AE813" s="158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1">
        <v>2500</v>
      </c>
      <c r="AA814" s="1582"/>
      <c r="AB814" s="1582"/>
      <c r="AC814" s="1582"/>
      <c r="AD814" s="1582"/>
      <c r="AE814" s="158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1">
        <v>2500</v>
      </c>
      <c r="AA815" s="1582"/>
      <c r="AB815" s="1582"/>
      <c r="AC815" s="1582"/>
      <c r="AD815" s="1582"/>
      <c r="AE815" s="158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8" t="s">
        <v>2726</v>
      </c>
      <c r="Q816" s="1619"/>
      <c r="R816" s="1619"/>
      <c r="S816" s="1619"/>
      <c r="T816" s="1619"/>
      <c r="U816" s="1619"/>
      <c r="V816" s="1619"/>
      <c r="W816" s="1619"/>
      <c r="X816" s="1619"/>
      <c r="Y816" s="1620"/>
      <c r="Z816" s="1581">
        <v>2500</v>
      </c>
      <c r="AA816" s="1582"/>
      <c r="AB816" s="1582"/>
      <c r="AC816" s="1582"/>
      <c r="AD816" s="1582"/>
      <c r="AE816" s="158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22500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90">
        <f>Z817+Y801+Z809</f>
        <v>2971224</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4" t="s">
        <v>126</v>
      </c>
      <c r="N823" s="1744"/>
      <c r="O823" s="1744"/>
      <c r="P823" s="1768"/>
      <c r="Q823" s="1599" t="s">
        <v>290</v>
      </c>
      <c r="R823" s="1599"/>
      <c r="S823" s="1599"/>
      <c r="T823" s="1599"/>
      <c r="U823" s="1599" t="s">
        <v>291</v>
      </c>
      <c r="V823" s="1599"/>
      <c r="W823" s="1599"/>
      <c r="X823" s="1599"/>
      <c r="Y823" s="1599" t="s">
        <v>292</v>
      </c>
      <c r="Z823" s="1599"/>
      <c r="AA823" s="1599"/>
      <c r="AB823" s="1599"/>
      <c r="AC823" s="1599" t="s">
        <v>361</v>
      </c>
      <c r="AD823" s="1599"/>
      <c r="AE823" s="1599"/>
      <c r="AF823" s="1599"/>
      <c r="AG823" s="1608" t="s">
        <v>335</v>
      </c>
      <c r="AH823" s="1608"/>
      <c r="AI823" s="1608"/>
      <c r="AJ823" s="160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8"/>
      <c r="N824" s="1748"/>
      <c r="O824" s="1748"/>
      <c r="P824" s="1753"/>
      <c r="Q824" s="1599"/>
      <c r="R824" s="1599"/>
      <c r="S824" s="1599"/>
      <c r="T824" s="1599"/>
      <c r="U824" s="1599"/>
      <c r="V824" s="1599"/>
      <c r="W824" s="1599"/>
      <c r="X824" s="1599"/>
      <c r="Y824" s="1599"/>
      <c r="Z824" s="1599"/>
      <c r="AA824" s="1599"/>
      <c r="AB824" s="1599"/>
      <c r="AC824" s="1599"/>
      <c r="AD824" s="1599"/>
      <c r="AE824" s="1599"/>
      <c r="AF824" s="1599"/>
      <c r="AG824" s="1608"/>
      <c r="AH824" s="1608"/>
      <c r="AI824" s="1608"/>
      <c r="AJ824" s="1608"/>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8" t="s">
        <v>40</v>
      </c>
      <c r="D825" s="1511"/>
      <c r="E825" s="1511"/>
      <c r="F825" s="1511"/>
      <c r="G825" s="1511"/>
      <c r="H825" s="1511"/>
      <c r="I825" s="48"/>
      <c r="J825" s="48"/>
      <c r="K825" s="48"/>
      <c r="L825" s="49"/>
      <c r="M825" s="1594">
        <v>22</v>
      </c>
      <c r="N825" s="1594"/>
      <c r="O825" s="1594"/>
      <c r="P825" s="1594"/>
      <c r="Q825" s="1594">
        <v>26</v>
      </c>
      <c r="R825" s="1594"/>
      <c r="S825" s="1594"/>
      <c r="T825" s="1594"/>
      <c r="U825" s="1594">
        <v>34</v>
      </c>
      <c r="V825" s="1594"/>
      <c r="W825" s="1594"/>
      <c r="X825" s="1594"/>
      <c r="Y825" s="1594">
        <v>41</v>
      </c>
      <c r="Z825" s="1594"/>
      <c r="AA825" s="1594"/>
      <c r="AB825" s="1594"/>
      <c r="AC825" s="1586"/>
      <c r="AD825" s="1587"/>
      <c r="AE825" s="1587"/>
      <c r="AF825" s="1588"/>
      <c r="AG825" s="1586"/>
      <c r="AH825" s="1587"/>
      <c r="AI825" s="1587"/>
      <c r="AJ825" s="1588"/>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0" t="s">
        <v>41</v>
      </c>
      <c r="D826" s="1406"/>
      <c r="E826" s="1406"/>
      <c r="F826" s="1406"/>
      <c r="G826" s="1406"/>
      <c r="H826" s="1406"/>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0" t="s">
        <v>42</v>
      </c>
      <c r="D827" s="1406"/>
      <c r="E827" s="1406"/>
      <c r="F827" s="1406"/>
      <c r="G827" s="1406"/>
      <c r="H827" s="1406"/>
      <c r="I827" s="60"/>
      <c r="J827" s="60"/>
      <c r="K827" s="60"/>
      <c r="L827" s="61"/>
      <c r="M827" s="1594">
        <v>9</v>
      </c>
      <c r="N827" s="1594"/>
      <c r="O827" s="1594"/>
      <c r="P827" s="1594"/>
      <c r="Q827" s="1594">
        <v>11</v>
      </c>
      <c r="R827" s="1594"/>
      <c r="S827" s="1594"/>
      <c r="T827" s="1594"/>
      <c r="U827" s="1594">
        <v>16</v>
      </c>
      <c r="V827" s="1594"/>
      <c r="W827" s="1594"/>
      <c r="X827" s="1594"/>
      <c r="Y827" s="1594">
        <v>21</v>
      </c>
      <c r="Z827" s="1594"/>
      <c r="AA827" s="1594"/>
      <c r="AB827" s="1594"/>
      <c r="AC827" s="1586"/>
      <c r="AD827" s="1587"/>
      <c r="AE827" s="1587"/>
      <c r="AF827" s="1588"/>
      <c r="AG827" s="1586"/>
      <c r="AH827" s="1587"/>
      <c r="AI827" s="1587"/>
      <c r="AJ827" s="1588"/>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0" t="s">
        <v>769</v>
      </c>
      <c r="D828" s="1406"/>
      <c r="E828" s="1406"/>
      <c r="F828" s="1406"/>
      <c r="G828" s="1406"/>
      <c r="H828" s="1406"/>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0" t="s">
        <v>466</v>
      </c>
      <c r="D829" s="1406"/>
      <c r="E829" s="1406"/>
      <c r="F829" s="1406"/>
      <c r="G829" s="1406"/>
      <c r="H829" s="1406"/>
      <c r="I829" s="60"/>
      <c r="J829" s="60"/>
      <c r="K829" s="60"/>
      <c r="L829" s="61"/>
      <c r="M829" s="1594">
        <v>29</v>
      </c>
      <c r="N829" s="1594"/>
      <c r="O829" s="1594"/>
      <c r="P829" s="1594"/>
      <c r="Q829" s="1594">
        <v>35</v>
      </c>
      <c r="R829" s="1594"/>
      <c r="S829" s="1594"/>
      <c r="T829" s="1594"/>
      <c r="U829" s="1594">
        <v>52</v>
      </c>
      <c r="V829" s="1594"/>
      <c r="W829" s="1594"/>
      <c r="X829" s="1594"/>
      <c r="Y829" s="1594">
        <v>69</v>
      </c>
      <c r="Z829" s="1594"/>
      <c r="AA829" s="1594"/>
      <c r="AB829" s="1594"/>
      <c r="AC829" s="1586"/>
      <c r="AD829" s="1587"/>
      <c r="AE829" s="1587"/>
      <c r="AF829" s="1588"/>
      <c r="AG829" s="1586"/>
      <c r="AH829" s="1587"/>
      <c r="AI829" s="1587"/>
      <c r="AJ829" s="1588"/>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4" t="s">
        <v>790</v>
      </c>
      <c r="D830" s="1406"/>
      <c r="E830" s="1406"/>
      <c r="F830" s="1406"/>
      <c r="G830" s="1406"/>
      <c r="H830" s="1406"/>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8" t="s">
        <v>2784</v>
      </c>
      <c r="G831" s="1619"/>
      <c r="H831" s="1619"/>
      <c r="I831" s="1619"/>
      <c r="J831" s="1619"/>
      <c r="K831" s="1619"/>
      <c r="L831" s="1619"/>
      <c r="M831" s="1594">
        <v>5</v>
      </c>
      <c r="N831" s="1594"/>
      <c r="O831" s="1594"/>
      <c r="P831" s="1594"/>
      <c r="Q831" s="1594">
        <v>6</v>
      </c>
      <c r="R831" s="1594"/>
      <c r="S831" s="1594"/>
      <c r="T831" s="1594"/>
      <c r="U831" s="1594">
        <v>9</v>
      </c>
      <c r="V831" s="1594"/>
      <c r="W831" s="1594"/>
      <c r="X831" s="1594"/>
      <c r="Y831" s="1594">
        <v>11</v>
      </c>
      <c r="Z831" s="1594"/>
      <c r="AA831" s="1594"/>
      <c r="AB831" s="1594"/>
      <c r="AC831" s="1586"/>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5" t="s">
        <v>124</v>
      </c>
      <c r="D832" s="1596"/>
      <c r="E832" s="1596"/>
      <c r="F832" s="1596"/>
      <c r="G832" s="1596"/>
      <c r="H832" s="1596"/>
      <c r="I832" s="1596"/>
      <c r="J832" s="1596"/>
      <c r="K832" s="1596"/>
      <c r="L832" s="1597"/>
      <c r="M832" s="1612">
        <f>SUM(M825:P831)</f>
        <v>65</v>
      </c>
      <c r="N832" s="1612"/>
      <c r="O832" s="1612"/>
      <c r="P832" s="1612"/>
      <c r="Q832" s="1612">
        <f>SUM(Q825:T831)</f>
        <v>78</v>
      </c>
      <c r="R832" s="1612"/>
      <c r="S832" s="1612"/>
      <c r="T832" s="1612"/>
      <c r="U832" s="1612">
        <f>SUM(U825:X831)</f>
        <v>111</v>
      </c>
      <c r="V832" s="1612"/>
      <c r="W832" s="1612"/>
      <c r="X832" s="1612"/>
      <c r="Y832" s="1612">
        <f>SUM(Y825:AB831)</f>
        <v>142</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0" t="s">
        <v>2785</v>
      </c>
      <c r="D837" s="1731"/>
      <c r="E837" s="1731"/>
      <c r="F837" s="1731"/>
      <c r="G837" s="1731"/>
      <c r="H837" s="1731"/>
      <c r="I837" s="1731"/>
      <c r="J837" s="1731"/>
      <c r="K837" s="1731"/>
      <c r="L837" s="1731"/>
      <c r="M837" s="1731"/>
      <c r="N837" s="1731"/>
      <c r="O837" s="1731"/>
      <c r="P837" s="1731"/>
      <c r="Q837" s="1731"/>
      <c r="R837" s="1731"/>
      <c r="S837" s="1731"/>
      <c r="T837" s="1731"/>
      <c r="U837" s="1731"/>
      <c r="V837" s="1731"/>
      <c r="W837" s="1731"/>
      <c r="X837" s="1731"/>
      <c r="Y837" s="1731"/>
      <c r="Z837" s="1731"/>
      <c r="AA837" s="1731"/>
      <c r="AB837" s="1731"/>
      <c r="AC837" s="1731"/>
      <c r="AD837" s="1731"/>
      <c r="AE837" s="1731"/>
      <c r="AF837" s="1731"/>
      <c r="AG837" s="1731"/>
      <c r="AH837" s="1731"/>
      <c r="AI837" s="1731"/>
      <c r="AJ837" s="173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3">
        <v>3300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3">
        <v>2000</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3">
        <v>5500</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3"/>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8" t="s">
        <v>2727</v>
      </c>
      <c r="N846" s="1619"/>
      <c r="O846" s="1619"/>
      <c r="P846" s="1619"/>
      <c r="Q846" s="1619"/>
      <c r="R846" s="1619"/>
      <c r="S846" s="1619"/>
      <c r="T846" s="1619"/>
      <c r="U846" s="1619"/>
      <c r="V846" s="1620"/>
      <c r="W846" s="1613">
        <v>19799</v>
      </c>
      <c r="X846" s="1613"/>
      <c r="Y846" s="1613"/>
      <c r="Z846" s="1613"/>
      <c r="AA846" s="1613"/>
      <c r="AB846" s="1613"/>
      <c r="AC846" s="1613"/>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0">
        <f>SUM(W842:AC846)</f>
        <v>30599</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7"/>
      <c r="BH848" s="1617"/>
      <c r="BI848" s="1617"/>
      <c r="BJ848" s="1617"/>
      <c r="BK848" s="1617"/>
      <c r="BL848" s="1617"/>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5" t="s">
        <v>345</v>
      </c>
      <c r="K849" s="1596"/>
      <c r="L849" s="1596"/>
      <c r="M849" s="1596"/>
      <c r="N849" s="1596"/>
      <c r="O849" s="1596"/>
      <c r="P849" s="1596"/>
      <c r="Q849" s="1596"/>
      <c r="R849" s="1596"/>
      <c r="S849" s="1596"/>
      <c r="T849" s="1596"/>
      <c r="U849" s="1596"/>
      <c r="V849" s="1597"/>
      <c r="W849" s="1581">
        <v>112000</v>
      </c>
      <c r="X849" s="1582"/>
      <c r="Y849" s="1582"/>
      <c r="Z849" s="1582"/>
      <c r="AA849" s="1582"/>
      <c r="AB849" s="1582"/>
      <c r="AC849" s="1583"/>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7">
        <v>200</v>
      </c>
      <c r="X851" s="1607"/>
      <c r="Y851" s="1607"/>
      <c r="Z851" s="1607"/>
      <c r="AA851" s="1607"/>
      <c r="AB851" s="1607"/>
      <c r="AC851" s="1607"/>
      <c r="AZ851" s="1621">
        <f>SUM(AZ818:AZ846)</f>
        <v>7.5000000000000011E-2</v>
      </c>
      <c r="BA851" s="1621"/>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7">
        <v>400</v>
      </c>
      <c r="X852" s="1607"/>
      <c r="Y852" s="1607"/>
      <c r="Z852" s="1607"/>
      <c r="AA852" s="1607"/>
      <c r="AB852" s="1607"/>
      <c r="AC852" s="1607"/>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7">
        <v>103200</v>
      </c>
      <c r="X853" s="1607"/>
      <c r="Y853" s="1607"/>
      <c r="Z853" s="1607"/>
      <c r="AA853" s="1607"/>
      <c r="AB853" s="1607"/>
      <c r="AC853" s="1607"/>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7">
        <v>154800</v>
      </c>
      <c r="X854" s="1607"/>
      <c r="Y854" s="1607"/>
      <c r="Z854" s="1607"/>
      <c r="AA854" s="1607"/>
      <c r="AB854" s="1607"/>
      <c r="AC854" s="160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90">
        <f>SUM(W851:AC854)</f>
        <v>258600</v>
      </c>
      <c r="X855" s="1690"/>
      <c r="Y855" s="1690"/>
      <c r="Z855" s="1690"/>
      <c r="AA855" s="1690"/>
      <c r="AB855" s="1690"/>
      <c r="AC855" s="169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4">
        <v>72000</v>
      </c>
      <c r="X857" s="1615"/>
      <c r="Y857" s="1615"/>
      <c r="Z857" s="1615"/>
      <c r="AA857" s="1615"/>
      <c r="AB857" s="1615"/>
      <c r="AC857" s="161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23">
        <v>2.5</v>
      </c>
      <c r="U858" s="1577"/>
      <c r="V858" s="162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4">
        <v>62000</v>
      </c>
      <c r="X859" s="1615"/>
      <c r="Y859" s="1615"/>
      <c r="Z859" s="1615"/>
      <c r="AA859" s="1615"/>
      <c r="AB859" s="1615"/>
      <c r="AC859" s="161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23">
        <v>1</v>
      </c>
      <c r="U860" s="1577"/>
      <c r="V860" s="162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8" t="s">
        <v>2728</v>
      </c>
      <c r="N861" s="1619"/>
      <c r="O861" s="1619"/>
      <c r="P861" s="1619"/>
      <c r="Q861" s="1619"/>
      <c r="R861" s="1619"/>
      <c r="S861" s="1619"/>
      <c r="T861" s="1619"/>
      <c r="U861" s="1619"/>
      <c r="V861" s="1620"/>
      <c r="W861" s="1614">
        <v>32800</v>
      </c>
      <c r="X861" s="1615"/>
      <c r="Y861" s="1615"/>
      <c r="Z861" s="1615"/>
      <c r="AA861" s="1615"/>
      <c r="AB861" s="1615"/>
      <c r="AC861" s="161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5">
        <f>SUM(W857:AC861)</f>
        <v>166800</v>
      </c>
      <c r="X862" s="1626"/>
      <c r="Y862" s="1626"/>
      <c r="Z862" s="1626"/>
      <c r="AA862" s="1626"/>
      <c r="AB862" s="1626"/>
      <c r="AC862" s="162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4">
        <v>67500</v>
      </c>
      <c r="X863" s="1615"/>
      <c r="Y863" s="1615"/>
      <c r="Z863" s="1615"/>
      <c r="AA863" s="1615"/>
      <c r="AB863" s="1615"/>
      <c r="AC863" s="1616"/>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3">
        <v>7500</v>
      </c>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3">
        <v>118000</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3">
        <v>77400</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3">
        <v>2000</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3">
        <v>64500</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3">
        <v>3500</v>
      </c>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8" t="s">
        <v>2729</v>
      </c>
      <c r="N871" s="1619"/>
      <c r="O871" s="1619"/>
      <c r="P871" s="1619"/>
      <c r="Q871" s="1619"/>
      <c r="R871" s="1619"/>
      <c r="S871" s="1619"/>
      <c r="T871" s="1619"/>
      <c r="U871" s="1619"/>
      <c r="V871" s="1620"/>
      <c r="W871" s="1613">
        <v>90300</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9">
        <f>SUM(W865:AC871)</f>
        <v>363200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8" t="s">
        <v>2730</v>
      </c>
      <c r="N874" s="1619"/>
      <c r="O874" s="1619"/>
      <c r="P874" s="1619"/>
      <c r="Q874" s="1619"/>
      <c r="R874" s="1619"/>
      <c r="S874" s="1619"/>
      <c r="T874" s="1619"/>
      <c r="U874" s="1619"/>
      <c r="V874" s="1620"/>
      <c r="W874" s="1581">
        <v>1150</v>
      </c>
      <c r="X874" s="1582"/>
      <c r="Y874" s="1582"/>
      <c r="Z874" s="1582"/>
      <c r="AA874" s="1582"/>
      <c r="AB874" s="1582"/>
      <c r="AC874" s="158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8" t="s">
        <v>334</v>
      </c>
      <c r="N875" s="1619"/>
      <c r="O875" s="1619"/>
      <c r="P875" s="1619"/>
      <c r="Q875" s="1619"/>
      <c r="R875" s="1619"/>
      <c r="S875" s="1619"/>
      <c r="T875" s="1619"/>
      <c r="U875" s="1619"/>
      <c r="V875" s="1620"/>
      <c r="W875" s="1581"/>
      <c r="X875" s="1582"/>
      <c r="Y875" s="1582"/>
      <c r="Z875" s="1582"/>
      <c r="AA875" s="1582"/>
      <c r="AB875" s="1582"/>
      <c r="AC875" s="158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8" t="s">
        <v>334</v>
      </c>
      <c r="N876" s="1619"/>
      <c r="O876" s="1619"/>
      <c r="P876" s="1619"/>
      <c r="Q876" s="1619"/>
      <c r="R876" s="1619"/>
      <c r="S876" s="1619"/>
      <c r="T876" s="1619"/>
      <c r="U876" s="1619"/>
      <c r="V876" s="1620"/>
      <c r="W876" s="1581"/>
      <c r="X876" s="1582"/>
      <c r="Y876" s="1582"/>
      <c r="Z876" s="1582"/>
      <c r="AA876" s="1582"/>
      <c r="AB876" s="1582"/>
      <c r="AC876" s="158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8" t="s">
        <v>334</v>
      </c>
      <c r="N877" s="1619"/>
      <c r="O877" s="1619"/>
      <c r="P877" s="1619"/>
      <c r="Q877" s="1619"/>
      <c r="R877" s="1619"/>
      <c r="S877" s="1619"/>
      <c r="T877" s="1619"/>
      <c r="U877" s="1619"/>
      <c r="V877" s="1620"/>
      <c r="W877" s="1581"/>
      <c r="X877" s="1582"/>
      <c r="Y877" s="1582"/>
      <c r="Z877" s="1582"/>
      <c r="AA877" s="1582"/>
      <c r="AB877" s="1582"/>
      <c r="AC877" s="158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8" t="s">
        <v>334</v>
      </c>
      <c r="N878" s="1619"/>
      <c r="O878" s="1619"/>
      <c r="P878" s="1619"/>
      <c r="Q878" s="1619"/>
      <c r="R878" s="1619"/>
      <c r="S878" s="1619"/>
      <c r="T878" s="1619"/>
      <c r="U878" s="1619"/>
      <c r="V878" s="1620"/>
      <c r="W878" s="1581"/>
      <c r="X878" s="1582"/>
      <c r="Y878" s="1582"/>
      <c r="Z878" s="1582"/>
      <c r="AA878" s="1582"/>
      <c r="AB878" s="1582"/>
      <c r="AC878" s="158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0">
        <f>SUM(W874:AC878)</f>
        <v>1150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1">
        <f>W847+W855+W862+W863+W872+W879+W849</f>
        <v>999849</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85">
        <f>O797+O777+G753</f>
        <v>150</v>
      </c>
      <c r="AD884" s="1685"/>
      <c r="AE884" s="1685"/>
      <c r="AF884" s="1685"/>
      <c r="AG884" s="1685"/>
      <c r="AH884" s="168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9" t="s">
        <v>32</v>
      </c>
      <c r="F885" s="1759"/>
      <c r="G885" s="1759"/>
      <c r="H885" s="1759"/>
      <c r="I885" s="1759"/>
      <c r="J885" s="1759"/>
      <c r="K885" s="1759"/>
      <c r="L885" s="1759"/>
      <c r="M885" s="1759"/>
      <c r="N885" s="1759"/>
      <c r="O885" s="1759"/>
      <c r="P885" s="1759"/>
      <c r="Q885" s="1759"/>
      <c r="R885" s="1759"/>
      <c r="S885" s="1759"/>
      <c r="T885" s="1759"/>
      <c r="U885" s="1759"/>
      <c r="V885" s="1759"/>
      <c r="W885" s="1759"/>
      <c r="X885" s="1759"/>
      <c r="Y885" s="1759"/>
      <c r="Z885" s="1759"/>
      <c r="AA885" s="1759"/>
      <c r="AB885" s="1760"/>
      <c r="AC885" s="1589">
        <f>IF(ISERROR((ROUNDDOWN(AC883/AC884,0))),0,(ROUNDDOWN(AC883/AC884,0)))</f>
        <v>6665</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94">
        <v>642218</v>
      </c>
      <c r="AD886" s="1695"/>
      <c r="AE886" s="1695"/>
      <c r="AF886" s="1695"/>
      <c r="AG886" s="1695"/>
      <c r="AH886" s="169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3"/>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2">
        <v>20000</v>
      </c>
      <c r="AD888" s="1582"/>
      <c r="AE888" s="1582"/>
      <c r="AF888" s="1582"/>
      <c r="AG888" s="1582"/>
      <c r="AH888" s="158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2">
        <v>75000</v>
      </c>
      <c r="AD889" s="1582"/>
      <c r="AE889" s="1582"/>
      <c r="AF889" s="1582"/>
      <c r="AG889" s="1582"/>
      <c r="AH889" s="158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6">
        <v>20000</v>
      </c>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2">
        <v>16650</v>
      </c>
      <c r="AD891" s="1582"/>
      <c r="AE891" s="1582"/>
      <c r="AF891" s="1582"/>
      <c r="AG891" s="1582"/>
      <c r="AH891" s="158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2">
        <v>146000</v>
      </c>
      <c r="AD892" s="1582"/>
      <c r="AE892" s="1582"/>
      <c r="AF892" s="1582"/>
      <c r="AG892" s="1582"/>
      <c r="AH892" s="158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2731</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3">
        <v>12500</v>
      </c>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973</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1"/>
      <c r="AA898" s="1582"/>
      <c r="AB898" s="1582"/>
      <c r="AC898" s="1582"/>
      <c r="AD898" s="1582"/>
      <c r="AE898" s="1583"/>
      <c r="AF898" s="567"/>
      <c r="AZ898" s="34"/>
      <c r="BB898" s="30"/>
      <c r="BC898" s="850"/>
      <c r="BD898" s="1622"/>
      <c r="BE898" s="162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1"/>
      <c r="AA899" s="1582"/>
      <c r="AB899" s="1582"/>
      <c r="AC899" s="1582"/>
      <c r="AD899" s="1582"/>
      <c r="AE899" s="1583"/>
      <c r="AZ899" s="34"/>
      <c r="BB899" s="30"/>
      <c r="BC899" s="850"/>
      <c r="BD899" s="1622"/>
      <c r="BE899" s="162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1"/>
      <c r="AA900" s="1582"/>
      <c r="AB900" s="1582"/>
      <c r="AC900" s="1582"/>
      <c r="AD900" s="1582"/>
      <c r="AE900" s="1583"/>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0">
        <f>Z898-(Z899+Z900)</f>
        <v>0</v>
      </c>
      <c r="AA901" s="1591"/>
      <c r="AB901" s="1591"/>
      <c r="AC901" s="1591"/>
      <c r="AD901" s="1591"/>
      <c r="AE901" s="1592"/>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2"/>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2"/>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7" t="s">
        <v>96</v>
      </c>
      <c r="B909" s="1547"/>
      <c r="C909" s="1547"/>
      <c r="D909" s="1547"/>
      <c r="E909" s="1547"/>
      <c r="F909" s="1547"/>
      <c r="G909" s="1547"/>
      <c r="H909" s="1547"/>
      <c r="I909" s="1547"/>
      <c r="J909" s="1547"/>
      <c r="K909" s="1547"/>
      <c r="L909" s="1547"/>
      <c r="M909" s="1547"/>
      <c r="N909" s="1547"/>
      <c r="O909" s="1547"/>
      <c r="P909" s="1547"/>
      <c r="Q909" s="1547"/>
      <c r="R909" s="1547"/>
      <c r="S909" s="1547"/>
      <c r="T909" s="1547"/>
      <c r="U909" s="1547"/>
      <c r="V909" s="1547"/>
      <c r="W909" s="1547"/>
      <c r="X909" s="1547"/>
      <c r="Y909" s="1547"/>
      <c r="Z909" s="1547"/>
      <c r="AA909" s="1547"/>
      <c r="AB909" s="1547"/>
      <c r="AC909" s="1547"/>
      <c r="AD909" s="1547"/>
      <c r="AE909" s="1547"/>
      <c r="AF909" s="1547"/>
      <c r="AG909" s="1547"/>
      <c r="AH909" s="1547"/>
      <c r="AI909" s="1547"/>
      <c r="AJ909" s="1547"/>
      <c r="AK909" s="1547"/>
      <c r="AL909" s="1547"/>
      <c r="AM909" s="1547"/>
      <c r="AN909" s="1547"/>
      <c r="AO909" s="1547"/>
      <c r="AP909" s="1547"/>
      <c r="AQ909" s="1547"/>
      <c r="AR909" s="1547"/>
      <c r="AS909" s="1547"/>
      <c r="AT909" s="1547"/>
      <c r="AZ909" s="34"/>
      <c r="BA909" s="34"/>
      <c r="BB909" s="30"/>
      <c r="BC909" s="30"/>
      <c r="BD909" s="1622"/>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7"/>
      <c r="B910" s="1547"/>
      <c r="C910" s="1547"/>
      <c r="D910" s="1547"/>
      <c r="E910" s="1547"/>
      <c r="F910" s="1547"/>
      <c r="G910" s="1547"/>
      <c r="H910" s="1547"/>
      <c r="I910" s="1547"/>
      <c r="J910" s="1547"/>
      <c r="K910" s="1547"/>
      <c r="L910" s="1547"/>
      <c r="M910" s="1547"/>
      <c r="N910" s="1547"/>
      <c r="O910" s="1547"/>
      <c r="P910" s="1547"/>
      <c r="Q910" s="1547"/>
      <c r="R910" s="1547"/>
      <c r="S910" s="1547"/>
      <c r="T910" s="1547"/>
      <c r="U910" s="1547"/>
      <c r="V910" s="1547"/>
      <c r="W910" s="1547"/>
      <c r="X910" s="1547"/>
      <c r="Y910" s="1547"/>
      <c r="Z910" s="1547"/>
      <c r="AA910" s="1547"/>
      <c r="AB910" s="1547"/>
      <c r="AC910" s="1547"/>
      <c r="AD910" s="1547"/>
      <c r="AE910" s="1547"/>
      <c r="AF910" s="1547"/>
      <c r="AG910" s="1547"/>
      <c r="AH910" s="1547"/>
      <c r="AI910" s="1547"/>
      <c r="AJ910" s="1547"/>
      <c r="AK910" s="1547"/>
      <c r="AL910" s="1547"/>
      <c r="AM910" s="1547"/>
      <c r="AN910" s="1547"/>
      <c r="AO910" s="1547"/>
      <c r="AP910" s="1547"/>
      <c r="AQ910" s="1547"/>
      <c r="AR910" s="1547"/>
      <c r="AS910" s="1547"/>
      <c r="AT910" s="154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799</v>
      </c>
      <c r="G914" s="1829"/>
      <c r="H914" s="1829"/>
      <c r="I914" s="1829"/>
      <c r="J914" s="1829"/>
      <c r="K914" s="1829"/>
      <c r="L914" s="1829"/>
      <c r="M914" s="1829"/>
      <c r="N914" s="1829"/>
      <c r="O914" s="1829"/>
      <c r="P914" s="1829"/>
      <c r="Q914" s="1829"/>
      <c r="R914" s="1829"/>
      <c r="S914" s="1829"/>
      <c r="T914" s="1830"/>
      <c r="U914" s="1743" t="s">
        <v>31</v>
      </c>
      <c r="V914" s="1744"/>
      <c r="W914" s="1744"/>
      <c r="X914" s="1744"/>
      <c r="Y914" s="1744"/>
      <c r="Z914" s="174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5" t="s">
        <v>825</v>
      </c>
      <c r="G915" s="1746"/>
      <c r="H915" s="1746"/>
      <c r="I915" s="1746"/>
      <c r="J915" s="1746"/>
      <c r="K915" s="1746"/>
      <c r="L915" s="1746"/>
      <c r="M915" s="1746"/>
      <c r="N915" s="1746"/>
      <c r="O915" s="1746"/>
      <c r="P915" s="1746"/>
      <c r="Q915" s="1746"/>
      <c r="R915" s="1746"/>
      <c r="S915" s="1746"/>
      <c r="T915" s="1752"/>
      <c r="U915" s="1745"/>
      <c r="V915" s="1746"/>
      <c r="W915" s="1746"/>
      <c r="X915" s="1746"/>
      <c r="Y915" s="1746"/>
      <c r="Z915" s="174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7"/>
      <c r="G916" s="1748"/>
      <c r="H916" s="1748"/>
      <c r="I916" s="1748"/>
      <c r="J916" s="1748"/>
      <c r="K916" s="1748"/>
      <c r="L916" s="1748"/>
      <c r="M916" s="1748"/>
      <c r="N916" s="1748"/>
      <c r="O916" s="1748"/>
      <c r="P916" s="1748"/>
      <c r="Q916" s="1748"/>
      <c r="R916" s="1748"/>
      <c r="S916" s="1748"/>
      <c r="T916" s="1753"/>
      <c r="U916" s="1747"/>
      <c r="V916" s="1748"/>
      <c r="W916" s="1748"/>
      <c r="X916" s="1748"/>
      <c r="Y916" s="1748"/>
      <c r="Z916" s="1748"/>
      <c r="AA916" s="108"/>
      <c r="AB916" s="1480" t="s">
        <v>391</v>
      </c>
      <c r="AC916" s="1480"/>
      <c r="AD916" s="1480"/>
      <c r="AE916" s="148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8" t="s">
        <v>552</v>
      </c>
      <c r="V917" s="1421"/>
      <c r="W917" s="1421"/>
      <c r="X917" s="1421"/>
      <c r="Y917" s="1421"/>
      <c r="Z917" s="1422"/>
      <c r="AA917" s="1629">
        <v>66000000</v>
      </c>
      <c r="AB917" s="1531"/>
      <c r="AC917" s="1531"/>
      <c r="AD917" s="1531"/>
      <c r="AE917" s="1531"/>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8" t="s">
        <v>552</v>
      </c>
      <c r="V918" s="1421"/>
      <c r="W918" s="1421"/>
      <c r="X918" s="1421"/>
      <c r="Y918" s="1421"/>
      <c r="Z918" s="1422"/>
      <c r="AA918" s="1629">
        <v>22587412</v>
      </c>
      <c r="AB918" s="1531"/>
      <c r="AC918" s="1531"/>
      <c r="AD918" s="1531"/>
      <c r="AE918" s="1531"/>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8" t="s">
        <v>598</v>
      </c>
      <c r="V919" s="1421"/>
      <c r="W919" s="1421"/>
      <c r="X919" s="1421"/>
      <c r="Y919" s="1421"/>
      <c r="Z919" s="1422"/>
      <c r="AA919" s="1629"/>
      <c r="AB919" s="1531"/>
      <c r="AC919" s="1531"/>
      <c r="AD919" s="1531"/>
      <c r="AE919" s="1531"/>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8" t="s">
        <v>598</v>
      </c>
      <c r="V920" s="1421"/>
      <c r="W920" s="1421"/>
      <c r="X920" s="1421"/>
      <c r="Y920" s="1421"/>
      <c r="Z920" s="1422"/>
      <c r="AA920" s="1629"/>
      <c r="AB920" s="1531"/>
      <c r="AC920" s="1531"/>
      <c r="AD920" s="1531"/>
      <c r="AE920" s="1531"/>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8" t="s">
        <v>598</v>
      </c>
      <c r="V921" s="1421"/>
      <c r="W921" s="1421"/>
      <c r="X921" s="1421"/>
      <c r="Y921" s="1421"/>
      <c r="Z921" s="1422"/>
      <c r="AA921" s="1629"/>
      <c r="AB921" s="1531"/>
      <c r="AC921" s="1531"/>
      <c r="AD921" s="1531"/>
      <c r="AE921" s="1531"/>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8" t="s">
        <v>598</v>
      </c>
      <c r="V922" s="1421"/>
      <c r="W922" s="1421"/>
      <c r="X922" s="1421"/>
      <c r="Y922" s="1421"/>
      <c r="Z922" s="1422"/>
      <c r="AA922" s="1629"/>
      <c r="AB922" s="1531"/>
      <c r="AC922" s="1531"/>
      <c r="AD922" s="1531"/>
      <c r="AE922" s="1531"/>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8" t="s">
        <v>598</v>
      </c>
      <c r="V923" s="1421"/>
      <c r="W923" s="1421"/>
      <c r="X923" s="1421"/>
      <c r="Y923" s="1421"/>
      <c r="Z923" s="1422"/>
      <c r="AA923" s="1629"/>
      <c r="AB923" s="1531"/>
      <c r="AC923" s="1531"/>
      <c r="AD923" s="1531"/>
      <c r="AE923" s="1531"/>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8" t="s">
        <v>598</v>
      </c>
      <c r="V924" s="1421"/>
      <c r="W924" s="1421"/>
      <c r="X924" s="1421"/>
      <c r="Y924" s="1421"/>
      <c r="Z924" s="1422"/>
      <c r="AA924" s="1629"/>
      <c r="AB924" s="1531"/>
      <c r="AC924" s="1531"/>
      <c r="AD924" s="1531"/>
      <c r="AE924" s="1531"/>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2550</v>
      </c>
      <c r="G925" s="1632"/>
      <c r="H925" s="1632"/>
      <c r="I925" s="1632"/>
      <c r="J925" s="1632"/>
      <c r="K925" s="1632"/>
      <c r="L925" s="1632"/>
      <c r="M925" s="1632"/>
      <c r="N925" s="1632"/>
      <c r="O925" s="1632"/>
      <c r="P925" s="1632"/>
      <c r="Q925" s="1632"/>
      <c r="R925" s="1632"/>
      <c r="S925" s="1632"/>
      <c r="T925" s="1633"/>
      <c r="U925" s="1628" t="s">
        <v>598</v>
      </c>
      <c r="V925" s="1421"/>
      <c r="W925" s="1421"/>
      <c r="X925" s="1421"/>
      <c r="Y925" s="1421"/>
      <c r="Z925" s="1422"/>
      <c r="AA925" s="1629"/>
      <c r="AB925" s="1531"/>
      <c r="AC925" s="1531"/>
      <c r="AD925" s="1531"/>
      <c r="AE925" s="1531"/>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685</v>
      </c>
      <c r="G926" s="1632"/>
      <c r="H926" s="1632"/>
      <c r="I926" s="1632"/>
      <c r="J926" s="1632"/>
      <c r="K926" s="1632"/>
      <c r="L926" s="1632"/>
      <c r="M926" s="1632"/>
      <c r="N926" s="1632"/>
      <c r="O926" s="1632"/>
      <c r="P926" s="1632"/>
      <c r="Q926" s="1632"/>
      <c r="R926" s="1632"/>
      <c r="S926" s="1632"/>
      <c r="T926" s="1633"/>
      <c r="U926" s="1628" t="s">
        <v>598</v>
      </c>
      <c r="V926" s="1421"/>
      <c r="W926" s="1421"/>
      <c r="X926" s="1421"/>
      <c r="Y926" s="1421"/>
      <c r="Z926" s="1422"/>
      <c r="AA926" s="1629"/>
      <c r="AB926" s="1531"/>
      <c r="AC926" s="1531"/>
      <c r="AD926" s="1531"/>
      <c r="AE926" s="1531"/>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2551</v>
      </c>
      <c r="G927" s="1632"/>
      <c r="H927" s="1632"/>
      <c r="I927" s="1632"/>
      <c r="J927" s="1632"/>
      <c r="K927" s="1632"/>
      <c r="L927" s="1632"/>
      <c r="M927" s="1632"/>
      <c r="N927" s="1632"/>
      <c r="O927" s="1632"/>
      <c r="P927" s="1632"/>
      <c r="Q927" s="1632"/>
      <c r="R927" s="1632"/>
      <c r="S927" s="1632"/>
      <c r="T927" s="1633"/>
      <c r="U927" s="1628" t="s">
        <v>598</v>
      </c>
      <c r="V927" s="1421"/>
      <c r="W927" s="1421"/>
      <c r="X927" s="1421"/>
      <c r="Y927" s="1421"/>
      <c r="Z927" s="1422"/>
      <c r="AA927" s="1629"/>
      <c r="AB927" s="1531"/>
      <c r="AC927" s="1531"/>
      <c r="AD927" s="1531"/>
      <c r="AE927" s="1531"/>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2552</v>
      </c>
      <c r="G928" s="1632"/>
      <c r="H928" s="1632"/>
      <c r="I928" s="1632"/>
      <c r="J928" s="1632"/>
      <c r="K928" s="1632"/>
      <c r="L928" s="1632"/>
      <c r="M928" s="1632"/>
      <c r="N928" s="1632"/>
      <c r="O928" s="1632"/>
      <c r="P928" s="1632"/>
      <c r="Q928" s="1632"/>
      <c r="R928" s="1632"/>
      <c r="S928" s="1632"/>
      <c r="T928" s="1633"/>
      <c r="U928" s="1628" t="s">
        <v>598</v>
      </c>
      <c r="V928" s="1421"/>
      <c r="W928" s="1421"/>
      <c r="X928" s="1421"/>
      <c r="Y928" s="1421"/>
      <c r="Z928" s="1422"/>
      <c r="AA928" s="1629"/>
      <c r="AB928" s="1531"/>
      <c r="AC928" s="1531"/>
      <c r="AD928" s="1531"/>
      <c r="AE928" s="1531"/>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2553</v>
      </c>
      <c r="G929" s="1632"/>
      <c r="H929" s="1632"/>
      <c r="I929" s="1632"/>
      <c r="J929" s="1632"/>
      <c r="K929" s="1632"/>
      <c r="L929" s="1632"/>
      <c r="M929" s="1632"/>
      <c r="N929" s="1632"/>
      <c r="O929" s="1632"/>
      <c r="P929" s="1632"/>
      <c r="Q929" s="1632"/>
      <c r="R929" s="1632"/>
      <c r="S929" s="1632"/>
      <c r="T929" s="1633"/>
      <c r="U929" s="1628" t="s">
        <v>598</v>
      </c>
      <c r="V929" s="1421"/>
      <c r="W929" s="1421"/>
      <c r="X929" s="1421"/>
      <c r="Y929" s="1421"/>
      <c r="Z929" s="1422"/>
      <c r="AA929" s="1629"/>
      <c r="AB929" s="1531"/>
      <c r="AC929" s="1531"/>
      <c r="AD929" s="1531"/>
      <c r="AE929" s="1531"/>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2554</v>
      </c>
      <c r="G930" s="1632"/>
      <c r="H930" s="1632"/>
      <c r="I930" s="1632"/>
      <c r="J930" s="1632"/>
      <c r="K930" s="1632"/>
      <c r="L930" s="1632"/>
      <c r="M930" s="1632"/>
      <c r="N930" s="1632"/>
      <c r="O930" s="1632"/>
      <c r="P930" s="1632"/>
      <c r="Q930" s="1632"/>
      <c r="R930" s="1632"/>
      <c r="S930" s="1632"/>
      <c r="T930" s="1633"/>
      <c r="U930" s="1628" t="s">
        <v>552</v>
      </c>
      <c r="V930" s="1421"/>
      <c r="W930" s="1421"/>
      <c r="X930" s="1421"/>
      <c r="Y930" s="1421"/>
      <c r="Z930" s="1422"/>
      <c r="AA930" s="1629">
        <v>27813000</v>
      </c>
      <c r="AB930" s="1531"/>
      <c r="AC930" s="1531"/>
      <c r="AD930" s="1531"/>
      <c r="AE930" s="1531"/>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2555</v>
      </c>
      <c r="G931" s="1632"/>
      <c r="H931" s="1632"/>
      <c r="I931" s="1632"/>
      <c r="J931" s="1632"/>
      <c r="K931" s="1632"/>
      <c r="L931" s="1632"/>
      <c r="M931" s="1632"/>
      <c r="N931" s="1632"/>
      <c r="O931" s="1632"/>
      <c r="P931" s="1632"/>
      <c r="Q931" s="1632"/>
      <c r="R931" s="1632"/>
      <c r="S931" s="1632"/>
      <c r="T931" s="1633"/>
      <c r="U931" s="1628" t="s">
        <v>598</v>
      </c>
      <c r="V931" s="1421"/>
      <c r="W931" s="1421"/>
      <c r="X931" s="1421"/>
      <c r="Y931" s="1421"/>
      <c r="Z931" s="1422"/>
      <c r="AA931" s="1629"/>
      <c r="AB931" s="1531"/>
      <c r="AC931" s="1531"/>
      <c r="AD931" s="1531"/>
      <c r="AE931" s="1531"/>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8" t="s">
        <v>598</v>
      </c>
      <c r="V932" s="1421"/>
      <c r="W932" s="1421"/>
      <c r="X932" s="1421"/>
      <c r="Y932" s="1421"/>
      <c r="Z932" s="1422"/>
      <c r="AA932" s="1629"/>
      <c r="AB932" s="1531"/>
      <c r="AC932" s="1531"/>
      <c r="AD932" s="1531"/>
      <c r="AE932" s="1531"/>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8" t="s">
        <v>598</v>
      </c>
      <c r="V933" s="1421"/>
      <c r="W933" s="1421"/>
      <c r="X933" s="1421"/>
      <c r="Y933" s="1421"/>
      <c r="Z933" s="1422"/>
      <c r="AA933" s="1629"/>
      <c r="AB933" s="1531"/>
      <c r="AC933" s="1531"/>
      <c r="AD933" s="1531"/>
      <c r="AE933" s="1531"/>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8" t="s">
        <v>598</v>
      </c>
      <c r="V934" s="1421"/>
      <c r="W934" s="1421"/>
      <c r="X934" s="1421"/>
      <c r="Y934" s="1421"/>
      <c r="Z934" s="1422"/>
      <c r="AA934" s="1629"/>
      <c r="AB934" s="1531"/>
      <c r="AC934" s="1531"/>
      <c r="AD934" s="1531"/>
      <c r="AE934" s="1531"/>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2559</v>
      </c>
      <c r="G935" s="1635"/>
      <c r="H935" s="1635"/>
      <c r="I935" s="1635"/>
      <c r="J935" s="1635"/>
      <c r="K935" s="1635"/>
      <c r="L935" s="1635"/>
      <c r="M935" s="1635"/>
      <c r="N935" s="1635"/>
      <c r="O935" s="1635"/>
      <c r="P935" s="1635"/>
      <c r="Q935" s="1635"/>
      <c r="R935" s="1635"/>
      <c r="S935" s="1635"/>
      <c r="T935" s="1636"/>
      <c r="U935" s="1628" t="s">
        <v>598</v>
      </c>
      <c r="V935" s="1421"/>
      <c r="W935" s="1421"/>
      <c r="X935" s="1421"/>
      <c r="Y935" s="1421"/>
      <c r="Z935" s="1422"/>
      <c r="AA935" s="1629"/>
      <c r="AB935" s="1531"/>
      <c r="AC935" s="1531"/>
      <c r="AD935" s="1531"/>
      <c r="AE935" s="1531"/>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2560</v>
      </c>
      <c r="G936" s="1635"/>
      <c r="H936" s="1635"/>
      <c r="I936" s="1635"/>
      <c r="J936" s="1635"/>
      <c r="K936" s="1635"/>
      <c r="L936" s="1635"/>
      <c r="M936" s="1635"/>
      <c r="N936" s="1635"/>
      <c r="O936" s="1635"/>
      <c r="P936" s="1635"/>
      <c r="Q936" s="1635"/>
      <c r="R936" s="1635"/>
      <c r="S936" s="1635"/>
      <c r="T936" s="1636"/>
      <c r="U936" s="1628" t="s">
        <v>598</v>
      </c>
      <c r="V936" s="1421"/>
      <c r="W936" s="1421"/>
      <c r="X936" s="1421"/>
      <c r="Y936" s="1421"/>
      <c r="Z936" s="1422"/>
      <c r="AA936" s="1629"/>
      <c r="AB936" s="1531"/>
      <c r="AC936" s="1531"/>
      <c r="AD936" s="1531"/>
      <c r="AE936" s="1531"/>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2556</v>
      </c>
      <c r="G937" s="1632"/>
      <c r="H937" s="1632"/>
      <c r="I937" s="1632"/>
      <c r="J937" s="1632"/>
      <c r="K937" s="1632"/>
      <c r="L937" s="1632"/>
      <c r="M937" s="1632"/>
      <c r="N937" s="1632"/>
      <c r="O937" s="1632"/>
      <c r="P937" s="1632"/>
      <c r="Q937" s="1632"/>
      <c r="R937" s="1632"/>
      <c r="S937" s="1632"/>
      <c r="T937" s="1633"/>
      <c r="U937" s="1628" t="s">
        <v>598</v>
      </c>
      <c r="V937" s="1421"/>
      <c r="W937" s="1421"/>
      <c r="X937" s="1421"/>
      <c r="Y937" s="1421"/>
      <c r="Z937" s="1422"/>
      <c r="AA937" s="1629"/>
      <c r="AB937" s="1531"/>
      <c r="AC937" s="1531"/>
      <c r="AD937" s="1531"/>
      <c r="AE937" s="1531"/>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2557</v>
      </c>
      <c r="G938" s="1632"/>
      <c r="H938" s="1632"/>
      <c r="I938" s="1632"/>
      <c r="J938" s="1632"/>
      <c r="K938" s="1632"/>
      <c r="L938" s="1632"/>
      <c r="M938" s="1632"/>
      <c r="N938" s="1632"/>
      <c r="O938" s="1632"/>
      <c r="P938" s="1632"/>
      <c r="Q938" s="1632"/>
      <c r="R938" s="1632"/>
      <c r="S938" s="1632"/>
      <c r="T938" s="1633"/>
      <c r="U938" s="1628" t="s">
        <v>598</v>
      </c>
      <c r="V938" s="1421"/>
      <c r="W938" s="1421"/>
      <c r="X938" s="1421"/>
      <c r="Y938" s="1421"/>
      <c r="Z938" s="1422"/>
      <c r="AA938" s="1629"/>
      <c r="AB938" s="1531"/>
      <c r="AC938" s="1531"/>
      <c r="AD938" s="1531"/>
      <c r="AE938" s="1531"/>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2558</v>
      </c>
      <c r="G939" s="1632"/>
      <c r="H939" s="1632"/>
      <c r="I939" s="1632"/>
      <c r="J939" s="1632"/>
      <c r="K939" s="1632"/>
      <c r="L939" s="1632"/>
      <c r="M939" s="1632"/>
      <c r="N939" s="1632"/>
      <c r="O939" s="1632"/>
      <c r="P939" s="1632"/>
      <c r="Q939" s="1632"/>
      <c r="R939" s="1632"/>
      <c r="S939" s="1632"/>
      <c r="T939" s="1633"/>
      <c r="U939" s="1628" t="s">
        <v>598</v>
      </c>
      <c r="V939" s="1421"/>
      <c r="W939" s="1421"/>
      <c r="X939" s="1421"/>
      <c r="Y939" s="1421"/>
      <c r="Z939" s="1422"/>
      <c r="AA939" s="1629"/>
      <c r="AB939" s="1531"/>
      <c r="AC939" s="1531"/>
      <c r="AD939" s="1531"/>
      <c r="AE939" s="1531"/>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8" t="s">
        <v>598</v>
      </c>
      <c r="V940" s="1421"/>
      <c r="W940" s="1421"/>
      <c r="X940" s="1421"/>
      <c r="Y940" s="1421"/>
      <c r="Z940" s="1422"/>
      <c r="AA940" s="1629"/>
      <c r="AB940" s="1531"/>
      <c r="AC940" s="1531"/>
      <c r="AD940" s="1531"/>
      <c r="AE940" s="1531"/>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2561</v>
      </c>
      <c r="G941" s="1635"/>
      <c r="H941" s="1635"/>
      <c r="I941" s="1635"/>
      <c r="J941" s="1635"/>
      <c r="K941" s="1635"/>
      <c r="L941" s="1635"/>
      <c r="M941" s="1635"/>
      <c r="N941" s="1635"/>
      <c r="O941" s="1635"/>
      <c r="P941" s="1635"/>
      <c r="Q941" s="1635"/>
      <c r="R941" s="1635"/>
      <c r="S941" s="1635"/>
      <c r="T941" s="1636"/>
      <c r="U941" s="1628" t="s">
        <v>598</v>
      </c>
      <c r="V941" s="1421"/>
      <c r="W941" s="1421"/>
      <c r="X941" s="1421"/>
      <c r="Y941" s="1421"/>
      <c r="Z941" s="1422"/>
      <c r="AA941" s="1629"/>
      <c r="AB941" s="1531"/>
      <c r="AC941" s="1531"/>
      <c r="AD941" s="1531"/>
      <c r="AE941" s="1531"/>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8" t="s">
        <v>598</v>
      </c>
      <c r="V942" s="1421"/>
      <c r="W942" s="1421"/>
      <c r="X942" s="1421"/>
      <c r="Y942" s="1421"/>
      <c r="Z942" s="1422"/>
      <c r="AA942" s="1629"/>
      <c r="AB942" s="1531"/>
      <c r="AC942" s="1531"/>
      <c r="AD942" s="1531"/>
      <c r="AE942" s="1531"/>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2562</v>
      </c>
      <c r="G943" s="1635"/>
      <c r="H943" s="1635"/>
      <c r="I943" s="1635"/>
      <c r="J943" s="1635"/>
      <c r="K943" s="1635"/>
      <c r="L943" s="1635"/>
      <c r="M943" s="1635"/>
      <c r="N943" s="1635"/>
      <c r="O943" s="1635"/>
      <c r="P943" s="1635"/>
      <c r="Q943" s="1635"/>
      <c r="R943" s="1635"/>
      <c r="S943" s="1635"/>
      <c r="T943" s="1636"/>
      <c r="U943" s="1628" t="s">
        <v>598</v>
      </c>
      <c r="V943" s="1421"/>
      <c r="W943" s="1421"/>
      <c r="X943" s="1421"/>
      <c r="Y943" s="1421"/>
      <c r="Z943" s="1422"/>
      <c r="AA943" s="1629"/>
      <c r="AB943" s="1531"/>
      <c r="AC943" s="1531"/>
      <c r="AD943" s="1531"/>
      <c r="AE943" s="1531"/>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8" t="s">
        <v>675</v>
      </c>
      <c r="Q944" s="1421"/>
      <c r="R944" s="1421"/>
      <c r="S944" s="1421"/>
      <c r="T944" s="1422"/>
      <c r="U944" s="1628" t="s">
        <v>598</v>
      </c>
      <c r="V944" s="1421"/>
      <c r="W944" s="1421"/>
      <c r="X944" s="1421"/>
      <c r="Y944" s="1421"/>
      <c r="Z944" s="1422"/>
      <c r="AA944" s="1629"/>
      <c r="AB944" s="1531"/>
      <c r="AC944" s="1531"/>
      <c r="AD944" s="1531"/>
      <c r="AE944" s="1531"/>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2549</v>
      </c>
      <c r="G945" s="1632"/>
      <c r="H945" s="1633"/>
      <c r="I945" s="1618" t="s">
        <v>334</v>
      </c>
      <c r="J945" s="1619"/>
      <c r="K945" s="1619"/>
      <c r="L945" s="1619"/>
      <c r="M945" s="1619"/>
      <c r="N945" s="1619"/>
      <c r="O945" s="1619"/>
      <c r="P945" s="1619"/>
      <c r="Q945" s="1619"/>
      <c r="R945" s="1619"/>
      <c r="S945" s="1619"/>
      <c r="T945" s="1620"/>
      <c r="U945" s="1628" t="s">
        <v>598</v>
      </c>
      <c r="V945" s="1421"/>
      <c r="W945" s="1421"/>
      <c r="X945" s="1421"/>
      <c r="Y945" s="1421"/>
      <c r="Z945" s="1422"/>
      <c r="AA945" s="1629"/>
      <c r="AB945" s="1531"/>
      <c r="AC945" s="1531"/>
      <c r="AD945" s="1531"/>
      <c r="AE945" s="1531"/>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8" t="s">
        <v>2769</v>
      </c>
      <c r="J946" s="1619"/>
      <c r="K946" s="1619"/>
      <c r="L946" s="1619"/>
      <c r="M946" s="1619"/>
      <c r="N946" s="1619"/>
      <c r="O946" s="1619"/>
      <c r="P946" s="1619"/>
      <c r="Q946" s="1619"/>
      <c r="R946" s="1619"/>
      <c r="S946" s="1619"/>
      <c r="T946" s="1620"/>
      <c r="U946" s="1628" t="s">
        <v>552</v>
      </c>
      <c r="V946" s="1421"/>
      <c r="W946" s="1421"/>
      <c r="X946" s="1421"/>
      <c r="Y946" s="1421"/>
      <c r="Z946" s="1422"/>
      <c r="AA946" s="1629">
        <v>5000000</v>
      </c>
      <c r="AB946" s="1531"/>
      <c r="AC946" s="1531"/>
      <c r="AD946" s="1531"/>
      <c r="AE946" s="1531"/>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8" t="s">
        <v>2770</v>
      </c>
      <c r="J947" s="1642"/>
      <c r="K947" s="1642"/>
      <c r="L947" s="1642"/>
      <c r="M947" s="1642"/>
      <c r="N947" s="1642"/>
      <c r="O947" s="1642"/>
      <c r="P947" s="1642"/>
      <c r="Q947" s="1642"/>
      <c r="R947" s="1642"/>
      <c r="S947" s="1642"/>
      <c r="T947" s="1643"/>
      <c r="U947" s="1628" t="s">
        <v>552</v>
      </c>
      <c r="V947" s="1421"/>
      <c r="W947" s="1421"/>
      <c r="X947" s="1421"/>
      <c r="Y947" s="1421"/>
      <c r="Z947" s="1422"/>
      <c r="AA947" s="1629">
        <v>2187000</v>
      </c>
      <c r="AB947" s="1531"/>
      <c r="AC947" s="1531"/>
      <c r="AD947" s="1531"/>
      <c r="AE947" s="1531"/>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8" t="s">
        <v>2771</v>
      </c>
      <c r="J948" s="1642"/>
      <c r="K948" s="1642"/>
      <c r="L948" s="1642"/>
      <c r="M948" s="1642"/>
      <c r="N948" s="1642"/>
      <c r="O948" s="1642"/>
      <c r="P948" s="1642"/>
      <c r="Q948" s="1642"/>
      <c r="R948" s="1642"/>
      <c r="S948" s="1642"/>
      <c r="T948" s="1643"/>
      <c r="U948" s="1628" t="s">
        <v>675</v>
      </c>
      <c r="V948" s="1421"/>
      <c r="W948" s="1421"/>
      <c r="X948" s="1421"/>
      <c r="Y948" s="1421"/>
      <c r="Z948" s="1422"/>
      <c r="AA948" s="1629">
        <v>8250000</v>
      </c>
      <c r="AB948" s="1531"/>
      <c r="AC948" s="1531"/>
      <c r="AD948" s="1531"/>
      <c r="AE948" s="1531"/>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8" t="s">
        <v>334</v>
      </c>
      <c r="J949" s="1642"/>
      <c r="K949" s="1642"/>
      <c r="L949" s="1642"/>
      <c r="M949" s="1642"/>
      <c r="N949" s="1642"/>
      <c r="O949" s="1642"/>
      <c r="P949" s="1642"/>
      <c r="Q949" s="1642"/>
      <c r="R949" s="1642"/>
      <c r="S949" s="1642"/>
      <c r="T949" s="1643"/>
      <c r="U949" s="1628" t="s">
        <v>598</v>
      </c>
      <c r="V949" s="1421"/>
      <c r="W949" s="1421"/>
      <c r="X949" s="1421"/>
      <c r="Y949" s="1421"/>
      <c r="Z949" s="1422"/>
      <c r="AA949" s="1629"/>
      <c r="AB949" s="1531"/>
      <c r="AC949" s="1531"/>
      <c r="AD949" s="1531"/>
      <c r="AE949" s="1531"/>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4"/>
      <c r="N954" s="1610"/>
      <c r="O954" s="1610"/>
      <c r="P954" s="1610"/>
      <c r="Q954" s="1610"/>
      <c r="R954" s="1610"/>
      <c r="S954" s="1611"/>
      <c r="U954" s="66" t="s">
        <v>11</v>
      </c>
      <c r="V954" s="5"/>
      <c r="W954" s="5"/>
      <c r="X954" s="5"/>
      <c r="Y954" s="5"/>
      <c r="Z954" s="5"/>
      <c r="AA954" s="5"/>
      <c r="AB954" s="5"/>
      <c r="AC954" s="5"/>
      <c r="AD954" s="46"/>
      <c r="AE954" s="1644"/>
      <c r="AF954" s="1610"/>
      <c r="AG954" s="1610"/>
      <c r="AH954" s="1610"/>
      <c r="AI954" s="1610"/>
      <c r="AJ954" s="1610"/>
      <c r="AK954" s="161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1"/>
      <c r="N955" s="1523"/>
      <c r="O955" s="1523"/>
      <c r="P955" s="1523"/>
      <c r="Q955" s="1523"/>
      <c r="R955" s="1523"/>
      <c r="S955" s="1742"/>
      <c r="U955" s="66" t="s">
        <v>12</v>
      </c>
      <c r="V955" s="5"/>
      <c r="W955" s="5"/>
      <c r="X955" s="5"/>
      <c r="Y955" s="5"/>
      <c r="Z955" s="5"/>
      <c r="AA955" s="5"/>
      <c r="AB955" s="5"/>
      <c r="AC955" s="5"/>
      <c r="AD955" s="46"/>
      <c r="AE955" s="1741"/>
      <c r="AF955" s="1523"/>
      <c r="AG955" s="1523"/>
      <c r="AH955" s="1523"/>
      <c r="AI955" s="1523"/>
      <c r="AJ955" s="1523"/>
      <c r="AK955" s="174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91" t="s">
        <v>307</v>
      </c>
      <c r="K956" s="1692"/>
      <c r="L956" s="1692"/>
      <c r="M956" s="1692"/>
      <c r="N956" s="1692"/>
      <c r="O956" s="1692"/>
      <c r="P956" s="1692"/>
      <c r="Q956" s="1692"/>
      <c r="R956" s="1692"/>
      <c r="S956" s="1693"/>
      <c r="U956" s="66" t="s">
        <v>890</v>
      </c>
      <c r="V956" s="5"/>
      <c r="W956" s="5"/>
      <c r="AB956" s="1691" t="s">
        <v>307</v>
      </c>
      <c r="AC956" s="1692"/>
      <c r="AD956" s="1692"/>
      <c r="AE956" s="1692"/>
      <c r="AF956" s="1692"/>
      <c r="AG956" s="1692"/>
      <c r="AH956" s="1692"/>
      <c r="AI956" s="1692"/>
      <c r="AJ956" s="1692"/>
      <c r="AK956" s="169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69"/>
      <c r="N957" s="1765"/>
      <c r="O957" s="1765"/>
      <c r="P957" s="1765"/>
      <c r="Q957" s="1765"/>
      <c r="R957" s="1765"/>
      <c r="S957" s="1766"/>
      <c r="U957" s="66" t="s">
        <v>13</v>
      </c>
      <c r="V957" s="5"/>
      <c r="W957" s="5"/>
      <c r="X957" s="5"/>
      <c r="Y957" s="5"/>
      <c r="Z957" s="5"/>
      <c r="AA957" s="5"/>
      <c r="AB957" s="5"/>
      <c r="AC957" s="5"/>
      <c r="AD957" s="46"/>
      <c r="AE957" s="1764"/>
      <c r="AF957" s="1765"/>
      <c r="AG957" s="1765"/>
      <c r="AH957" s="1765"/>
      <c r="AI957" s="1765"/>
      <c r="AJ957" s="1765"/>
      <c r="AK957" s="176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5"/>
      <c r="N958" s="1601"/>
      <c r="O958" s="1601"/>
      <c r="P958" s="1601"/>
      <c r="Q958" s="1601"/>
      <c r="R958" s="1601"/>
      <c r="S958" s="1602"/>
      <c r="U958" s="66" t="s">
        <v>14</v>
      </c>
      <c r="V958" s="5"/>
      <c r="W958" s="5"/>
      <c r="X958" s="5"/>
      <c r="Y958" s="5"/>
      <c r="Z958" s="5"/>
      <c r="AA958" s="5"/>
      <c r="AB958" s="5"/>
      <c r="AC958" s="5"/>
      <c r="AD958" s="46"/>
      <c r="AE958" s="1755"/>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c r="N959" s="1531"/>
      <c r="O959" s="1531"/>
      <c r="P959" s="1531"/>
      <c r="Q959" s="1531"/>
      <c r="R959" s="1531"/>
      <c r="S959" s="1630"/>
      <c r="U959" s="66" t="s">
        <v>15</v>
      </c>
      <c r="V959" s="5"/>
      <c r="W959" s="5"/>
      <c r="X959" s="5"/>
      <c r="Y959" s="5"/>
      <c r="Z959" s="5"/>
      <c r="AA959" s="5"/>
      <c r="AB959" s="5"/>
      <c r="AC959" s="5"/>
      <c r="AD959" s="46"/>
      <c r="AE959" s="1629"/>
      <c r="AF959" s="1531"/>
      <c r="AG959" s="1531"/>
      <c r="AH959" s="1531"/>
      <c r="AI959" s="1531"/>
      <c r="AJ959" s="1531"/>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c r="N960" s="1531"/>
      <c r="O960" s="1531"/>
      <c r="P960" s="1531"/>
      <c r="Q960" s="1531"/>
      <c r="R960" s="1531"/>
      <c r="S960" s="1630"/>
      <c r="U960" s="66" t="s">
        <v>16</v>
      </c>
      <c r="V960" s="5"/>
      <c r="W960" s="5"/>
      <c r="X960" s="5"/>
      <c r="Y960" s="5"/>
      <c r="Z960" s="5"/>
      <c r="AA960" s="5"/>
      <c r="AB960" s="5"/>
      <c r="AC960" s="5"/>
      <c r="AD960" s="46"/>
      <c r="AE960" s="1629"/>
      <c r="AF960" s="1531"/>
      <c r="AG960" s="1531"/>
      <c r="AH960" s="1531"/>
      <c r="AI960" s="1531"/>
      <c r="AJ960" s="1531"/>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61"/>
      <c r="N961" s="1762"/>
      <c r="O961" s="1762"/>
      <c r="P961" s="1762"/>
      <c r="Q961" s="1762"/>
      <c r="R961" s="1762"/>
      <c r="S961" s="1763"/>
      <c r="U961" s="121" t="s">
        <v>1770</v>
      </c>
      <c r="V961" s="5"/>
      <c r="W961" s="5"/>
      <c r="X961" s="5"/>
      <c r="Y961" s="5"/>
      <c r="Z961" s="5"/>
      <c r="AA961" s="5"/>
      <c r="AB961" s="5"/>
      <c r="AC961" s="5"/>
      <c r="AD961" s="46"/>
      <c r="AE961" s="1761"/>
      <c r="AF961" s="1762"/>
      <c r="AG961" s="1762"/>
      <c r="AH961" s="1762"/>
      <c r="AI961" s="1762"/>
      <c r="AJ961" s="1762"/>
      <c r="AK961" s="176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5"/>
      <c r="N966" s="1646"/>
      <c r="O966" s="1646"/>
      <c r="P966" s="1646"/>
      <c r="Q966" s="1646"/>
      <c r="R966" s="1646"/>
      <c r="S966" s="1647"/>
      <c r="T966" s="66" t="s">
        <v>797</v>
      </c>
      <c r="U966" s="5"/>
      <c r="V966" s="5"/>
      <c r="W966" s="5"/>
      <c r="X966" s="5"/>
      <c r="Y966" s="5"/>
      <c r="Z966" s="46"/>
      <c r="AA966" s="1645"/>
      <c r="AB966" s="1646"/>
      <c r="AC966" s="1646"/>
      <c r="AD966" s="1646"/>
      <c r="AE966" s="1646"/>
      <c r="AF966" s="1646"/>
      <c r="AG966" s="164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5"/>
      <c r="N967" s="1646"/>
      <c r="O967" s="1646"/>
      <c r="P967" s="1646"/>
      <c r="Q967" s="1646"/>
      <c r="R967" s="1646"/>
      <c r="S967" s="1647"/>
      <c r="T967" s="66" t="s">
        <v>796</v>
      </c>
      <c r="U967" s="5"/>
      <c r="V967" s="5"/>
      <c r="W967" s="5"/>
      <c r="X967" s="5"/>
      <c r="Y967" s="5"/>
      <c r="Z967" s="46"/>
      <c r="AA967" s="1645"/>
      <c r="AB967" s="1646"/>
      <c r="AC967" s="1646"/>
      <c r="AD967" s="1646"/>
      <c r="AE967" s="1646"/>
      <c r="AF967" s="1646"/>
      <c r="AG967" s="164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87" t="s">
        <v>598</v>
      </c>
      <c r="N968" s="1688"/>
      <c r="O968" s="1688"/>
      <c r="P968" s="1688"/>
      <c r="Q968" s="1688"/>
      <c r="R968" s="1688"/>
      <c r="S968" s="1689"/>
      <c r="T968" s="45" t="s">
        <v>337</v>
      </c>
      <c r="U968" s="5"/>
      <c r="V968" s="5"/>
      <c r="W968" s="5"/>
      <c r="X968" s="5"/>
      <c r="Y968" s="5"/>
      <c r="Z968" s="46"/>
      <c r="AA968" s="1645"/>
      <c r="AB968" s="1646"/>
      <c r="AC968" s="1646"/>
      <c r="AD968" s="1646"/>
      <c r="AE968" s="1646"/>
      <c r="AF968" s="1646"/>
      <c r="AG968" s="164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5"/>
      <c r="N969" s="1646"/>
      <c r="O969" s="1646"/>
      <c r="P969" s="1646"/>
      <c r="Q969" s="1646"/>
      <c r="R969" s="1646"/>
      <c r="S969" s="1647"/>
      <c r="T969" s="45" t="s">
        <v>338</v>
      </c>
      <c r="U969" s="5"/>
      <c r="V969" s="5"/>
      <c r="W969" s="5"/>
      <c r="X969" s="5"/>
      <c r="Y969" s="5"/>
      <c r="Z969" s="46"/>
      <c r="AA969" s="1645"/>
      <c r="AB969" s="1646"/>
      <c r="AC969" s="1646"/>
      <c r="AD969" s="1646"/>
      <c r="AE969" s="1646"/>
      <c r="AF969" s="1646"/>
      <c r="AG969" s="164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5"/>
      <c r="N970" s="1646"/>
      <c r="O970" s="1646"/>
      <c r="P970" s="1646"/>
      <c r="Q970" s="1646"/>
      <c r="R970" s="1646"/>
      <c r="S970" s="1647"/>
      <c r="T970" s="45" t="s">
        <v>376</v>
      </c>
      <c r="U970" s="5"/>
      <c r="V970" s="5"/>
      <c r="W970" s="5"/>
      <c r="X970" s="5"/>
      <c r="Y970" s="5"/>
      <c r="Z970" s="46"/>
      <c r="AA970" s="1645"/>
      <c r="AB970" s="1646"/>
      <c r="AC970" s="1646"/>
      <c r="AD970" s="1646"/>
      <c r="AE970" s="1646"/>
      <c r="AF970" s="1646"/>
      <c r="AG970" s="164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91" t="s">
        <v>307</v>
      </c>
      <c r="N971" s="1692"/>
      <c r="O971" s="1692"/>
      <c r="P971" s="1692"/>
      <c r="Q971" s="1692"/>
      <c r="R971" s="1692"/>
      <c r="S971" s="1693"/>
      <c r="T971" s="1738"/>
      <c r="U971" s="1739"/>
      <c r="V971" s="1739"/>
      <c r="W971" s="1739"/>
      <c r="X971" s="1739"/>
      <c r="Y971" s="1739"/>
      <c r="Z971" s="1740"/>
      <c r="AA971" s="1645"/>
      <c r="AB971" s="1646"/>
      <c r="AC971" s="1646"/>
      <c r="AD971" s="1646"/>
      <c r="AE971" s="1646"/>
      <c r="AF971" s="1646"/>
      <c r="AG971" s="164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5"/>
      <c r="N972" s="1646"/>
      <c r="O972" s="1646"/>
      <c r="P972" s="1646"/>
      <c r="Q972" s="1646"/>
      <c r="R972" s="1646"/>
      <c r="S972" s="1647"/>
      <c r="T972" s="1738"/>
      <c r="U972" s="1739"/>
      <c r="V972" s="1739"/>
      <c r="W972" s="1739"/>
      <c r="X972" s="1739"/>
      <c r="Y972" s="1739"/>
      <c r="Z972" s="1740"/>
      <c r="AA972" s="1645"/>
      <c r="AB972" s="1646"/>
      <c r="AC972" s="1646"/>
      <c r="AD972" s="1646"/>
      <c r="AE972" s="1646"/>
      <c r="AF972" s="1646"/>
      <c r="AG972" s="164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7" t="s">
        <v>675</v>
      </c>
      <c r="P973" s="1448"/>
      <c r="Q973" s="92"/>
      <c r="R973" s="92"/>
      <c r="S973" s="93"/>
      <c r="T973" s="41" t="s">
        <v>169</v>
      </c>
      <c r="U973" s="42"/>
      <c r="V973" s="42"/>
      <c r="W973" s="1756" t="s">
        <v>334</v>
      </c>
      <c r="X973" s="1757"/>
      <c r="Y973" s="1757"/>
      <c r="Z973" s="1757"/>
      <c r="AA973" s="1757"/>
      <c r="AB973" s="1757"/>
      <c r="AC973" s="1757"/>
      <c r="AD973" s="1757"/>
      <c r="AE973" s="1757"/>
      <c r="AF973" s="1757"/>
      <c r="AG973" s="175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8" t="s">
        <v>33</v>
      </c>
      <c r="G974" s="1511"/>
      <c r="H974" s="1511"/>
      <c r="I974" s="1511"/>
      <c r="J974" s="1511"/>
      <c r="K974" s="1511"/>
      <c r="L974" s="1511"/>
      <c r="M974" s="1645"/>
      <c r="N974" s="1646"/>
      <c r="O974" s="1646"/>
      <c r="P974" s="1646"/>
      <c r="Q974" s="1646"/>
      <c r="R974" s="1646"/>
      <c r="S974" s="1647"/>
      <c r="T974" s="47"/>
      <c r="U974" s="48"/>
      <c r="V974" s="48"/>
      <c r="W974" s="48"/>
      <c r="X974" s="48"/>
      <c r="Y974" s="48"/>
      <c r="Z974" s="124" t="s">
        <v>134</v>
      </c>
      <c r="AA974" s="1749"/>
      <c r="AB974" s="1750"/>
      <c r="AC974" s="1750"/>
      <c r="AD974" s="1750"/>
      <c r="AE974" s="1750"/>
      <c r="AF974" s="1750"/>
      <c r="AG974" s="175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7" t="s">
        <v>555</v>
      </c>
      <c r="B978" s="1547"/>
      <c r="C978" s="1547"/>
      <c r="D978" s="1547"/>
      <c r="E978" s="1547"/>
      <c r="F978" s="1547"/>
      <c r="G978" s="1547"/>
      <c r="H978" s="1547"/>
      <c r="I978" s="1547"/>
      <c r="J978" s="1547"/>
      <c r="K978" s="1547"/>
      <c r="L978" s="1547"/>
      <c r="M978" s="1547"/>
      <c r="N978" s="1547"/>
      <c r="O978" s="1547"/>
      <c r="P978" s="1547"/>
      <c r="Q978" s="1547"/>
      <c r="R978" s="1547"/>
      <c r="S978" s="1547"/>
      <c r="T978" s="1547"/>
      <c r="U978" s="1547"/>
      <c r="V978" s="1547"/>
      <c r="W978" s="1547"/>
      <c r="X978" s="1547"/>
      <c r="Y978" s="1547"/>
      <c r="Z978" s="1547"/>
      <c r="AA978" s="1547"/>
      <c r="AB978" s="1547"/>
      <c r="AC978" s="1547"/>
      <c r="AD978" s="1547"/>
      <c r="AE978" s="1547"/>
      <c r="AF978" s="1547"/>
      <c r="AG978" s="1547"/>
      <c r="AH978" s="1547"/>
      <c r="AI978" s="1547"/>
      <c r="AJ978" s="1547"/>
      <c r="AK978" s="1547"/>
      <c r="AL978" s="1547"/>
      <c r="AM978" s="1547"/>
      <c r="AN978" s="1547"/>
      <c r="AO978" s="1547"/>
      <c r="AP978" s="1547"/>
      <c r="AQ978" s="1547"/>
      <c r="AR978" s="1547"/>
      <c r="AS978" s="1547"/>
      <c r="AT978" s="154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7"/>
      <c r="B979" s="1547"/>
      <c r="C979" s="1547"/>
      <c r="D979" s="1547"/>
      <c r="E979" s="1547"/>
      <c r="F979" s="1547"/>
      <c r="G979" s="1547"/>
      <c r="H979" s="1547"/>
      <c r="I979" s="1547"/>
      <c r="J979" s="1547"/>
      <c r="K979" s="1547"/>
      <c r="L979" s="1547"/>
      <c r="M979" s="1547"/>
      <c r="N979" s="1547"/>
      <c r="O979" s="1547"/>
      <c r="P979" s="1547"/>
      <c r="Q979" s="1547"/>
      <c r="R979" s="1547"/>
      <c r="S979" s="1547"/>
      <c r="T979" s="1547"/>
      <c r="U979" s="1547"/>
      <c r="V979" s="1547"/>
      <c r="W979" s="1547"/>
      <c r="X979" s="1547"/>
      <c r="Y979" s="1547"/>
      <c r="Z979" s="1547"/>
      <c r="AA979" s="1547"/>
      <c r="AB979" s="1547"/>
      <c r="AC979" s="1547"/>
      <c r="AD979" s="1547"/>
      <c r="AE979" s="1547"/>
      <c r="AF979" s="1547"/>
      <c r="AG979" s="1547"/>
      <c r="AH979" s="1547"/>
      <c r="AI979" s="1547"/>
      <c r="AJ979" s="1547"/>
      <c r="AK979" s="1547"/>
      <c r="AL979" s="1547"/>
      <c r="AM979" s="1547"/>
      <c r="AN979" s="1547"/>
      <c r="AO979" s="1547"/>
      <c r="AP979" s="1547"/>
      <c r="AQ979" s="1547"/>
      <c r="AR979" s="1547"/>
      <c r="AS979" s="1547"/>
      <c r="AT979" s="154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7"/>
      <c r="B980" s="1547"/>
      <c r="C980" s="1547"/>
      <c r="D980" s="1547"/>
      <c r="E980" s="1547"/>
      <c r="F980" s="1547"/>
      <c r="G980" s="1547"/>
      <c r="H980" s="1547"/>
      <c r="I980" s="1547"/>
      <c r="J980" s="1547"/>
      <c r="K980" s="1547"/>
      <c r="L980" s="1547"/>
      <c r="M980" s="1547"/>
      <c r="N980" s="1547"/>
      <c r="O980" s="1547"/>
      <c r="P980" s="1547"/>
      <c r="Q980" s="1547"/>
      <c r="R980" s="1547"/>
      <c r="S980" s="1547"/>
      <c r="T980" s="1547"/>
      <c r="U980" s="1547"/>
      <c r="V980" s="1547"/>
      <c r="W980" s="1547"/>
      <c r="X980" s="1547"/>
      <c r="Y980" s="1547"/>
      <c r="Z980" s="1547"/>
      <c r="AA980" s="1547"/>
      <c r="AB980" s="1547"/>
      <c r="AC980" s="1547"/>
      <c r="AD980" s="1547"/>
      <c r="AE980" s="1547"/>
      <c r="AF980" s="1547"/>
      <c r="AG980" s="1547"/>
      <c r="AH980" s="1547"/>
      <c r="AI980" s="1547"/>
      <c r="AJ980" s="1547"/>
      <c r="AK980" s="1547"/>
      <c r="AL980" s="1547"/>
      <c r="AM980" s="1547"/>
      <c r="AN980" s="1547"/>
      <c r="AO980" s="1547"/>
      <c r="AP980" s="1547"/>
      <c r="AQ980" s="1547"/>
      <c r="AR980" s="1547"/>
      <c r="AS980" s="1547"/>
      <c r="AT980" s="154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1" t="s">
        <v>644</v>
      </c>
      <c r="E984" s="1662"/>
      <c r="F984" s="1662"/>
      <c r="G984" s="1662"/>
      <c r="H984" s="1662"/>
      <c r="I984" s="1662"/>
      <c r="J984" s="1662"/>
      <c r="K984" s="1662"/>
      <c r="L984" s="1662"/>
      <c r="M984" s="1662"/>
      <c r="N984" s="1662"/>
      <c r="O984" s="1662"/>
      <c r="P984" s="1662"/>
      <c r="Q984" s="1663"/>
      <c r="R984" s="1661" t="s">
        <v>645</v>
      </c>
      <c r="S984" s="1662"/>
      <c r="T984" s="1662"/>
      <c r="U984" s="1662"/>
      <c r="V984" s="1662"/>
      <c r="W984" s="1662"/>
      <c r="X984" s="1662"/>
      <c r="Y984" s="1662"/>
      <c r="Z984" s="1662"/>
      <c r="AA984" s="1663"/>
      <c r="AB984" s="1661" t="s">
        <v>646</v>
      </c>
      <c r="AC984" s="1662"/>
      <c r="AD984" s="1662"/>
      <c r="AE984" s="1662"/>
      <c r="AF984" s="1662"/>
      <c r="AG984" s="1662"/>
      <c r="AH984" s="1662"/>
      <c r="AI984" s="1663"/>
      <c r="AJ984" s="1661" t="s">
        <v>647</v>
      </c>
      <c r="AK984" s="1662"/>
      <c r="AL984" s="1662"/>
      <c r="AM984" s="1662"/>
      <c r="AN984" s="1662"/>
      <c r="AO984" s="1662"/>
      <c r="AP984" s="1662"/>
      <c r="AQ984" s="16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8" t="s">
        <v>639</v>
      </c>
      <c r="E985" s="1519"/>
      <c r="F985" s="1519"/>
      <c r="G985" s="1519"/>
      <c r="H985" s="1519"/>
      <c r="I985" s="1519"/>
      <c r="J985" s="1519"/>
      <c r="K985" s="1519"/>
      <c r="L985" s="1519"/>
      <c r="M985" s="1519"/>
      <c r="N985" s="1519"/>
      <c r="O985" s="1519"/>
      <c r="P985" s="1519"/>
      <c r="Q985" s="1520"/>
      <c r="R985" s="1754">
        <f>IF(ISNA(IF($BN$796="4%",(INDEX($BP$806:$BT$863,MATCH($CB$796,$BO$806:$BO$863,0),MATCH(D985,$BP$805:$BT$805,0))),(INDEX($BW$806:$CA$863,MATCH($CB$796,$BV$806:$BV$863,0),MATCH(D985,$BW$805:$CA$805,0))))),0,IF($BN$796="4%",(INDEX($BP$806:$BT$863,MATCH($CB$796,$BO$806:$BO$863,0),MATCH(D985,$BP$805:$BT$805,0))),(INDEX($BW$806:$CA$863,MATCH($CB$796,$BV$806:$BV$863,0),MATCH(D985,$BW$805:$CA$805,0)))))</f>
        <v>473390</v>
      </c>
      <c r="S985" s="1754"/>
      <c r="T985" s="1754"/>
      <c r="U985" s="1754"/>
      <c r="V985" s="1754"/>
      <c r="W985" s="1754"/>
      <c r="X985" s="1754"/>
      <c r="Y985" s="1754"/>
      <c r="Z985" s="1754"/>
      <c r="AA985" s="1754"/>
      <c r="AB985" s="1664">
        <f>BN660</f>
        <v>22</v>
      </c>
      <c r="AC985" s="1665"/>
      <c r="AD985" s="1665"/>
      <c r="AE985" s="1665"/>
      <c r="AF985" s="1665"/>
      <c r="AG985" s="1665"/>
      <c r="AH985" s="1665"/>
      <c r="AI985" s="1666"/>
      <c r="AJ985" s="1770">
        <f>IF(ISERROR((R985*AB985)),0,(R985*AB985))</f>
        <v>10414580</v>
      </c>
      <c r="AK985" s="1771"/>
      <c r="AL985" s="1771"/>
      <c r="AM985" s="1771"/>
      <c r="AN985" s="1771"/>
      <c r="AO985" s="1771"/>
      <c r="AP985" s="1771"/>
      <c r="AQ985" s="177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8" t="s">
        <v>325</v>
      </c>
      <c r="E986" s="1519"/>
      <c r="F986" s="1519"/>
      <c r="G986" s="1519"/>
      <c r="H986" s="1519"/>
      <c r="I986" s="1519"/>
      <c r="J986" s="1519"/>
      <c r="K986" s="1519"/>
      <c r="L986" s="1519"/>
      <c r="M986" s="1519"/>
      <c r="N986" s="1519"/>
      <c r="O986" s="1519"/>
      <c r="P986" s="1519"/>
      <c r="Q986" s="1520"/>
      <c r="R986" s="1754">
        <f>IF(ISNA(IF($BN$796="4%",(INDEX($BP$806:$BT$863,MATCH($CB$796,$BO$806:$BO$863,0),MATCH(D986,$BP$805:$BT$805,0))),(INDEX($BW$806:$CA$863,MATCH($CB$796,$BV$806:$BV$863,0),MATCH(D986,$BW$805:$CA$805,0))))),0,IF($BN$796="4%",(INDEX($BP$806:$BT$863,MATCH($CB$796,$BO$806:$BO$863,0),MATCH(D986,$BP$805:$BT$805,0))),(INDEX($BW$806:$CA$863,MATCH($CB$796,$BV$806:$BV$863,0),MATCH(D986,$BW$805:$CA$805,0)))))</f>
        <v>545814</v>
      </c>
      <c r="S986" s="1754"/>
      <c r="T986" s="1754"/>
      <c r="U986" s="1754"/>
      <c r="V986" s="1754"/>
      <c r="W986" s="1754"/>
      <c r="X986" s="1754"/>
      <c r="Y986" s="1754"/>
      <c r="Z986" s="1754"/>
      <c r="AA986" s="1754"/>
      <c r="AB986" s="1664">
        <f>BS660</f>
        <v>10</v>
      </c>
      <c r="AC986" s="1665"/>
      <c r="AD986" s="1665"/>
      <c r="AE986" s="1665"/>
      <c r="AF986" s="1665"/>
      <c r="AG986" s="1665"/>
      <c r="AH986" s="1665"/>
      <c r="AI986" s="1666"/>
      <c r="AJ986" s="1770">
        <f>IF(ISERROR((R986*AB986)),0,(R986*AB986))</f>
        <v>5458140</v>
      </c>
      <c r="AK986" s="1771"/>
      <c r="AL986" s="1771"/>
      <c r="AM986" s="1771"/>
      <c r="AN986" s="1771"/>
      <c r="AO986" s="1771"/>
      <c r="AP986" s="1771"/>
      <c r="AQ986" s="177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8" t="s">
        <v>163</v>
      </c>
      <c r="E987" s="1519"/>
      <c r="F987" s="1519"/>
      <c r="G987" s="1519"/>
      <c r="H987" s="1519"/>
      <c r="I987" s="1519"/>
      <c r="J987" s="1519"/>
      <c r="K987" s="1519"/>
      <c r="L987" s="1519"/>
      <c r="M987" s="1519"/>
      <c r="N987" s="1519"/>
      <c r="O987" s="1519"/>
      <c r="P987" s="1519"/>
      <c r="Q987" s="1520"/>
      <c r="R987" s="1754">
        <f>IF(ISNA(IF($BN$796="4%",(INDEX($BP$806:$BT$863,MATCH($CB$796,$BO$806:$BO$863,0),MATCH(D987,$BP$805:$BT$805,0))),(INDEX($BW$806:$CA$863,MATCH($CB$796,$BV$806:$BV$863,0),MATCH(D987,$BW$805:$CA$805,0))))),0,IF($BN$796="4%",(INDEX($BP$806:$BT$863,MATCH($CB$796,$BO$806:$BO$863,0),MATCH(D987,$BP$805:$BT$805,0))),(INDEX($BW$806:$CA$863,MATCH($CB$796,$BV$806:$BV$863,0),MATCH(D987,$BW$805:$CA$805,0)))))</f>
        <v>658400</v>
      </c>
      <c r="S987" s="1754"/>
      <c r="T987" s="1754"/>
      <c r="U987" s="1754"/>
      <c r="V987" s="1754"/>
      <c r="W987" s="1754"/>
      <c r="X987" s="1754"/>
      <c r="Y987" s="1754"/>
      <c r="Z987" s="1754"/>
      <c r="AA987" s="1754"/>
      <c r="AB987" s="1664">
        <f>BX660</f>
        <v>69</v>
      </c>
      <c r="AC987" s="1665"/>
      <c r="AD987" s="1665"/>
      <c r="AE987" s="1665"/>
      <c r="AF987" s="1665"/>
      <c r="AG987" s="1665"/>
      <c r="AH987" s="1665"/>
      <c r="AI987" s="1666"/>
      <c r="AJ987" s="1770">
        <f>IF(ISERROR((R987*AB987)),0,(R987*AB987))</f>
        <v>45429600</v>
      </c>
      <c r="AK987" s="1771"/>
      <c r="AL987" s="1771"/>
      <c r="AM987" s="1771"/>
      <c r="AN987" s="1771"/>
      <c r="AO987" s="1771"/>
      <c r="AP987" s="1771"/>
      <c r="AQ987" s="177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8" t="s">
        <v>164</v>
      </c>
      <c r="E988" s="1519"/>
      <c r="F988" s="1519"/>
      <c r="G988" s="1519"/>
      <c r="H988" s="1519"/>
      <c r="I988" s="1519"/>
      <c r="J988" s="1519"/>
      <c r="K988" s="1519"/>
      <c r="L988" s="1519"/>
      <c r="M988" s="1519"/>
      <c r="N988" s="1519"/>
      <c r="O988" s="1519"/>
      <c r="P988" s="1519"/>
      <c r="Q988" s="1520"/>
      <c r="R988" s="1754">
        <f>IF(ISNA(IF($BN$796="4%",(INDEX($BP$806:$BT$863,MATCH($CB$796,$BO$806:$BO$863,0),MATCH(D988,$BP$805:$BT$805,0))),(INDEX($BW$806:$CA$863,MATCH($CB$796,$BV$806:$BV$863,0),MATCH(D988,$BW$805:$CA$805,0))))),0,IF($BN$796="4%",(INDEX($BP$806:$BT$863,MATCH($CB$796,$BO$806:$BO$863,0),MATCH(D988,$BP$805:$BT$805,0))),(INDEX($BW$806:$CA$863,MATCH($CB$796,$BV$806:$BV$863,0),MATCH(D988,$BW$805:$CA$805,0)))))</f>
        <v>842752</v>
      </c>
      <c r="S988" s="1754"/>
      <c r="T988" s="1754"/>
      <c r="U988" s="1754"/>
      <c r="V988" s="1754"/>
      <c r="W988" s="1754"/>
      <c r="X988" s="1754"/>
      <c r="Y988" s="1754"/>
      <c r="Z988" s="1754"/>
      <c r="AA988" s="1754"/>
      <c r="AB988" s="1664">
        <f>CC660</f>
        <v>49</v>
      </c>
      <c r="AC988" s="1665"/>
      <c r="AD988" s="1665"/>
      <c r="AE988" s="1665"/>
      <c r="AF988" s="1665"/>
      <c r="AG988" s="1665"/>
      <c r="AH988" s="1665"/>
      <c r="AI988" s="1666"/>
      <c r="AJ988" s="1770">
        <f>IF(ISERROR((R988*AB988)),0,(R988*AB988))</f>
        <v>41294848</v>
      </c>
      <c r="AK988" s="1771"/>
      <c r="AL988" s="1771"/>
      <c r="AM988" s="1771"/>
      <c r="AN988" s="1771"/>
      <c r="AO988" s="1771"/>
      <c r="AP988" s="1771"/>
      <c r="AQ988" s="177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8" t="s">
        <v>467</v>
      </c>
      <c r="E989" s="1519"/>
      <c r="F989" s="1519"/>
      <c r="G989" s="1519"/>
      <c r="H989" s="1519"/>
      <c r="I989" s="1519"/>
      <c r="J989" s="1519"/>
      <c r="K989" s="1519"/>
      <c r="L989" s="1519"/>
      <c r="M989" s="1519"/>
      <c r="N989" s="1519"/>
      <c r="O989" s="1519"/>
      <c r="P989" s="1519"/>
      <c r="Q989" s="1520"/>
      <c r="R989" s="1754">
        <f>IF(ISNA(IF($BN$796="4%",(INDEX($BP$806:$BT$863,MATCH($CB$796,$BO$806:$BO$863,0),MATCH(D989,$BP$805:$BT$805,0))),(INDEX($BW$806:$CA$863,MATCH($CB$796,$BV$806:$BV$863,0),MATCH(D989,$BW$805:$CA$805,0))))),0,IF($BN$796="4%",(INDEX($BP$806:$BT$863,MATCH($CB$796,$BO$806:$BO$863,0),MATCH(D989,$BP$805:$BT$805,0))),(INDEX($BW$806:$CA$863,MATCH($CB$796,$BV$806:$BV$863,0),MATCH(D989,$BW$805:$CA$805,0)))))</f>
        <v>938878</v>
      </c>
      <c r="S989" s="1754"/>
      <c r="T989" s="1754"/>
      <c r="U989" s="1754"/>
      <c r="V989" s="1754"/>
      <c r="W989" s="1754"/>
      <c r="X989" s="1754"/>
      <c r="Y989" s="1754"/>
      <c r="Z989" s="1754"/>
      <c r="AA989" s="1754"/>
      <c r="AB989" s="1664">
        <f>CM660+CH660</f>
        <v>0</v>
      </c>
      <c r="AC989" s="1665"/>
      <c r="AD989" s="1665"/>
      <c r="AE989" s="1665"/>
      <c r="AF989" s="1665"/>
      <c r="AG989" s="1665"/>
      <c r="AH989" s="1665"/>
      <c r="AI989" s="1666"/>
      <c r="AJ989" s="1770">
        <f>IF(ISERROR((R989*AB989)),0,(R989*AB989))</f>
        <v>0</v>
      </c>
      <c r="AK989" s="1771"/>
      <c r="AL989" s="1771"/>
      <c r="AM989" s="1771"/>
      <c r="AN989" s="1771"/>
      <c r="AO989" s="1771"/>
      <c r="AP989" s="1771"/>
      <c r="AQ989" s="177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9" t="s">
        <v>798</v>
      </c>
      <c r="C990" s="1780"/>
      <c r="D990" s="1780"/>
      <c r="E990" s="1780"/>
      <c r="F990" s="1780"/>
      <c r="G990" s="1780"/>
      <c r="H990" s="1780"/>
      <c r="I990" s="1780"/>
      <c r="J990" s="1780"/>
      <c r="K990" s="1780"/>
      <c r="L990" s="1780"/>
      <c r="M990" s="1780"/>
      <c r="N990" s="1780"/>
      <c r="O990" s="1780"/>
      <c r="P990" s="1780"/>
      <c r="Q990" s="1780"/>
      <c r="R990" s="1780"/>
      <c r="S990" s="1780"/>
      <c r="T990" s="1780"/>
      <c r="U990" s="1780"/>
      <c r="V990" s="1780"/>
      <c r="W990" s="1780"/>
      <c r="X990" s="1780"/>
      <c r="Y990" s="1780"/>
      <c r="Z990" s="1780"/>
      <c r="AA990" s="1781"/>
      <c r="AB990" s="1664">
        <f>SUM(AB985:AI989)</f>
        <v>150</v>
      </c>
      <c r="AC990" s="1665"/>
      <c r="AD990" s="1665"/>
      <c r="AE990" s="1665"/>
      <c r="AF990" s="1665"/>
      <c r="AG990" s="1665"/>
      <c r="AH990" s="1665"/>
      <c r="AI990" s="1666"/>
      <c r="AJ990" s="1770"/>
      <c r="AK990" s="1771"/>
      <c r="AL990" s="1771"/>
      <c r="AM990" s="1771"/>
      <c r="AN990" s="1771"/>
      <c r="AO990" s="1771"/>
      <c r="AP990" s="1771"/>
      <c r="AQ990" s="177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70">
        <f>SUM(AJ985:AQ989)</f>
        <v>102597168</v>
      </c>
      <c r="AK991" s="1771"/>
      <c r="AL991" s="1771"/>
      <c r="AM991" s="1771"/>
      <c r="AN991" s="1771"/>
      <c r="AO991" s="1771"/>
      <c r="AP991" s="1771"/>
      <c r="AQ991" s="177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672</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82" t="s">
        <v>1323</v>
      </c>
      <c r="E993" s="1783"/>
      <c r="F993" s="1783"/>
      <c r="G993" s="1783"/>
      <c r="H993" s="1783"/>
      <c r="I993" s="1783"/>
      <c r="J993" s="1783"/>
      <c r="K993" s="1783"/>
      <c r="L993" s="1783"/>
      <c r="M993" s="1783"/>
      <c r="N993" s="1783"/>
      <c r="O993" s="1783"/>
      <c r="P993" s="1783"/>
      <c r="Q993" s="1783"/>
      <c r="R993" s="1783"/>
      <c r="S993" s="1783"/>
      <c r="T993" s="1783"/>
      <c r="U993" s="1783"/>
      <c r="V993" s="1783"/>
      <c r="W993" s="1783"/>
      <c r="X993" s="1783"/>
      <c r="Y993" s="1783"/>
      <c r="Z993" s="1783"/>
      <c r="AA993" s="1783"/>
      <c r="AB993" s="1783"/>
      <c r="AC993" s="1783"/>
      <c r="AD993" s="1783"/>
      <c r="AE993" s="1784"/>
      <c r="AF993" s="79"/>
      <c r="AG993" s="1823" t="s">
        <v>552</v>
      </c>
      <c r="AH993" s="1824"/>
      <c r="AI993" s="87"/>
      <c r="AJ993" s="1785">
        <f>ROUND(IF(AND(AG993="yes",D999&gt;0),AJ991*0.2,0),0)</f>
        <v>20519434</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1" t="s">
        <v>2563</v>
      </c>
      <c r="E994" s="1652"/>
      <c r="F994" s="1652"/>
      <c r="G994" s="1652"/>
      <c r="H994" s="1652"/>
      <c r="I994" s="1652"/>
      <c r="J994" s="1652"/>
      <c r="K994" s="1652"/>
      <c r="L994" s="1652"/>
      <c r="M994" s="1652"/>
      <c r="N994" s="1652"/>
      <c r="O994" s="1652"/>
      <c r="P994" s="1652"/>
      <c r="Q994" s="1652"/>
      <c r="R994" s="1652"/>
      <c r="S994" s="1652"/>
      <c r="T994" s="1652"/>
      <c r="U994" s="1652"/>
      <c r="V994" s="1652"/>
      <c r="W994" s="1652"/>
      <c r="X994" s="1652"/>
      <c r="Y994" s="1652"/>
      <c r="Z994" s="1652"/>
      <c r="AA994" s="1652"/>
      <c r="AB994" s="1652"/>
      <c r="AC994" s="1652"/>
      <c r="AD994" s="1652"/>
      <c r="AE994" s="1653"/>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1"/>
      <c r="E995" s="1652"/>
      <c r="F995" s="1652"/>
      <c r="G995" s="1652"/>
      <c r="H995" s="1652"/>
      <c r="I995" s="1652"/>
      <c r="J995" s="1652"/>
      <c r="K995" s="1652"/>
      <c r="L995" s="1652"/>
      <c r="M995" s="1652"/>
      <c r="N995" s="1652"/>
      <c r="O995" s="1652"/>
      <c r="P995" s="1652"/>
      <c r="Q995" s="1652"/>
      <c r="R995" s="1652"/>
      <c r="S995" s="1652"/>
      <c r="T995" s="1652"/>
      <c r="U995" s="1652"/>
      <c r="V995" s="1652"/>
      <c r="W995" s="1652"/>
      <c r="X995" s="1652"/>
      <c r="Y995" s="1652"/>
      <c r="Z995" s="1652"/>
      <c r="AA995" s="1652"/>
      <c r="AB995" s="1652"/>
      <c r="AC995" s="1652"/>
      <c r="AD995" s="1652"/>
      <c r="AE995" s="1653"/>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1"/>
      <c r="E996" s="1652"/>
      <c r="F996" s="1652"/>
      <c r="G996" s="1652"/>
      <c r="H996" s="1652"/>
      <c r="I996" s="1652"/>
      <c r="J996" s="1652"/>
      <c r="K996" s="1652"/>
      <c r="L996" s="1652"/>
      <c r="M996" s="1652"/>
      <c r="N996" s="1652"/>
      <c r="O996" s="1652"/>
      <c r="P996" s="1652"/>
      <c r="Q996" s="1652"/>
      <c r="R996" s="1652"/>
      <c r="S996" s="1652"/>
      <c r="T996" s="1652"/>
      <c r="U996" s="1652"/>
      <c r="V996" s="1652"/>
      <c r="W996" s="1652"/>
      <c r="X996" s="1652"/>
      <c r="Y996" s="1652"/>
      <c r="Z996" s="1652"/>
      <c r="AA996" s="1652"/>
      <c r="AB996" s="1652"/>
      <c r="AC996" s="1652"/>
      <c r="AD996" s="1652"/>
      <c r="AE996" s="1653"/>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1"/>
      <c r="E997" s="1652"/>
      <c r="F997" s="1652"/>
      <c r="G997" s="1652"/>
      <c r="H997" s="1652"/>
      <c r="I997" s="1652"/>
      <c r="J997" s="1652"/>
      <c r="K997" s="1652"/>
      <c r="L997" s="1652"/>
      <c r="M997" s="1652"/>
      <c r="N997" s="1652"/>
      <c r="O997" s="1652"/>
      <c r="P997" s="1652"/>
      <c r="Q997" s="1652"/>
      <c r="R997" s="1652"/>
      <c r="S997" s="1652"/>
      <c r="T997" s="1652"/>
      <c r="U997" s="1652"/>
      <c r="V997" s="1652"/>
      <c r="W997" s="1652"/>
      <c r="X997" s="1652"/>
      <c r="Y997" s="1652"/>
      <c r="Z997" s="1652"/>
      <c r="AA997" s="1652"/>
      <c r="AB997" s="1652"/>
      <c r="AC997" s="1652"/>
      <c r="AD997" s="1652"/>
      <c r="AE997" s="1653"/>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4" t="s">
        <v>2564</v>
      </c>
      <c r="E998" s="1655"/>
      <c r="F998" s="1655"/>
      <c r="G998" s="1655"/>
      <c r="H998" s="1655"/>
      <c r="I998" s="1655"/>
      <c r="J998" s="1655"/>
      <c r="K998" s="1655"/>
      <c r="L998" s="1655"/>
      <c r="M998" s="1655"/>
      <c r="N998" s="1655"/>
      <c r="O998" s="1655"/>
      <c r="P998" s="1655"/>
      <c r="Q998" s="1655"/>
      <c r="R998" s="1655"/>
      <c r="S998" s="1655"/>
      <c r="T998" s="1655"/>
      <c r="U998" s="1655"/>
      <c r="V998" s="1655"/>
      <c r="W998" s="1655"/>
      <c r="X998" s="1655"/>
      <c r="Y998" s="1655"/>
      <c r="Z998" s="1655"/>
      <c r="AA998" s="1655"/>
      <c r="AB998" s="1655"/>
      <c r="AC998" s="1655"/>
      <c r="AD998" s="1655"/>
      <c r="AE998" s="1656"/>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7" t="s">
        <v>2786</v>
      </c>
      <c r="E999" s="1668"/>
      <c r="F999" s="1668"/>
      <c r="G999" s="1668"/>
      <c r="H999" s="1668"/>
      <c r="I999" s="1668"/>
      <c r="J999" s="1668"/>
      <c r="K999" s="1668"/>
      <c r="L999" s="1668"/>
      <c r="M999" s="1668"/>
      <c r="N999" s="1668"/>
      <c r="O999" s="1668"/>
      <c r="P999" s="1668"/>
      <c r="Q999" s="1668"/>
      <c r="R999" s="1668"/>
      <c r="S999" s="1668"/>
      <c r="T999" s="1668"/>
      <c r="U999" s="1668"/>
      <c r="V999" s="1668"/>
      <c r="W999" s="1668"/>
      <c r="X999" s="1668"/>
      <c r="Y999" s="1668"/>
      <c r="Z999" s="1668"/>
      <c r="AA999" s="1668"/>
      <c r="AB999" s="1668"/>
      <c r="AC999" s="1668"/>
      <c r="AD999" s="1668"/>
      <c r="AE999" s="1669"/>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8" t="s">
        <v>1391</v>
      </c>
      <c r="E1000" s="1649"/>
      <c r="F1000" s="1649"/>
      <c r="G1000" s="1649"/>
      <c r="H1000" s="1649"/>
      <c r="I1000" s="1649"/>
      <c r="J1000" s="1649"/>
      <c r="K1000" s="1649"/>
      <c r="L1000" s="1649"/>
      <c r="M1000" s="1649"/>
      <c r="N1000" s="1649"/>
      <c r="O1000" s="1649"/>
      <c r="P1000" s="1649"/>
      <c r="Q1000" s="1649"/>
      <c r="R1000" s="1649"/>
      <c r="S1000" s="1649"/>
      <c r="T1000" s="1649"/>
      <c r="U1000" s="1649"/>
      <c r="V1000" s="1649"/>
      <c r="W1000" s="1649"/>
      <c r="X1000" s="1649"/>
      <c r="Y1000" s="1649"/>
      <c r="Z1000" s="1649"/>
      <c r="AA1000" s="1649"/>
      <c r="AB1000" s="1649"/>
      <c r="AC1000" s="1649"/>
      <c r="AD1000" s="1649"/>
      <c r="AE1000" s="1650"/>
      <c r="AF1000" s="79"/>
      <c r="AG1000" s="1681" t="s">
        <v>675</v>
      </c>
      <c r="AH1000" s="1682"/>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1" t="s">
        <v>1389</v>
      </c>
      <c r="E1001" s="1652"/>
      <c r="F1001" s="1652"/>
      <c r="G1001" s="1652"/>
      <c r="H1001" s="1652"/>
      <c r="I1001" s="1652"/>
      <c r="J1001" s="1652"/>
      <c r="K1001" s="1652"/>
      <c r="L1001" s="1652"/>
      <c r="M1001" s="1652"/>
      <c r="N1001" s="1652"/>
      <c r="O1001" s="1652"/>
      <c r="P1001" s="1652"/>
      <c r="Q1001" s="1652"/>
      <c r="R1001" s="1652"/>
      <c r="S1001" s="1652"/>
      <c r="T1001" s="1652"/>
      <c r="U1001" s="1652"/>
      <c r="V1001" s="1652"/>
      <c r="W1001" s="1652"/>
      <c r="X1001" s="1652"/>
      <c r="Y1001" s="1652"/>
      <c r="Z1001" s="1652"/>
      <c r="AA1001" s="1652"/>
      <c r="AB1001" s="1652"/>
      <c r="AC1001" s="1652"/>
      <c r="AD1001" s="1652"/>
      <c r="AE1001" s="1653"/>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1"/>
      <c r="E1002" s="1652"/>
      <c r="F1002" s="1652"/>
      <c r="G1002" s="1652"/>
      <c r="H1002" s="1652"/>
      <c r="I1002" s="1652"/>
      <c r="J1002" s="1652"/>
      <c r="K1002" s="1652"/>
      <c r="L1002" s="1652"/>
      <c r="M1002" s="1652"/>
      <c r="N1002" s="1652"/>
      <c r="O1002" s="1652"/>
      <c r="P1002" s="1652"/>
      <c r="Q1002" s="1652"/>
      <c r="R1002" s="1652"/>
      <c r="S1002" s="1652"/>
      <c r="T1002" s="1652"/>
      <c r="U1002" s="1652"/>
      <c r="V1002" s="1652"/>
      <c r="W1002" s="1652"/>
      <c r="X1002" s="1652"/>
      <c r="Y1002" s="1652"/>
      <c r="Z1002" s="1652"/>
      <c r="AA1002" s="1652"/>
      <c r="AB1002" s="1652"/>
      <c r="AC1002" s="1652"/>
      <c r="AD1002" s="1652"/>
      <c r="AE1002" s="1653"/>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149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1"/>
      <c r="E1003" s="1652"/>
      <c r="F1003" s="1652"/>
      <c r="G1003" s="1652"/>
      <c r="H1003" s="1652"/>
      <c r="I1003" s="1652"/>
      <c r="J1003" s="1652"/>
      <c r="K1003" s="1652"/>
      <c r="L1003" s="1652"/>
      <c r="M1003" s="1652"/>
      <c r="N1003" s="1652"/>
      <c r="O1003" s="1652"/>
      <c r="P1003" s="1652"/>
      <c r="Q1003" s="1652"/>
      <c r="R1003" s="1652"/>
      <c r="S1003" s="1652"/>
      <c r="T1003" s="1652"/>
      <c r="U1003" s="1652"/>
      <c r="V1003" s="1652"/>
      <c r="W1003" s="1652"/>
      <c r="X1003" s="1652"/>
      <c r="Y1003" s="1652"/>
      <c r="Z1003" s="1652"/>
      <c r="AA1003" s="1652"/>
      <c r="AB1003" s="1652"/>
      <c r="AC1003" s="1652"/>
      <c r="AD1003" s="1652"/>
      <c r="AE1003" s="1653"/>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1"/>
      <c r="E1004" s="1652"/>
      <c r="F1004" s="1652"/>
      <c r="G1004" s="1652"/>
      <c r="H1004" s="1652"/>
      <c r="I1004" s="1652"/>
      <c r="J1004" s="1652"/>
      <c r="K1004" s="1652"/>
      <c r="L1004" s="1652"/>
      <c r="M1004" s="1652"/>
      <c r="N1004" s="1652"/>
      <c r="O1004" s="1652"/>
      <c r="P1004" s="1652"/>
      <c r="Q1004" s="1652"/>
      <c r="R1004" s="1652"/>
      <c r="S1004" s="1652"/>
      <c r="T1004" s="1652"/>
      <c r="U1004" s="1652"/>
      <c r="V1004" s="1652"/>
      <c r="W1004" s="1652"/>
      <c r="X1004" s="1652"/>
      <c r="Y1004" s="1652"/>
      <c r="Z1004" s="1652"/>
      <c r="AA1004" s="1652"/>
      <c r="AB1004" s="1652"/>
      <c r="AC1004" s="1652"/>
      <c r="AD1004" s="1652"/>
      <c r="AE1004" s="1653"/>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0.24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4"/>
      <c r="E1005" s="1655"/>
      <c r="F1005" s="1655"/>
      <c r="G1005" s="1655"/>
      <c r="H1005" s="1655"/>
      <c r="I1005" s="1655"/>
      <c r="J1005" s="1655"/>
      <c r="K1005" s="1655"/>
      <c r="L1005" s="1655"/>
      <c r="M1005" s="1655"/>
      <c r="N1005" s="1655"/>
      <c r="O1005" s="1655"/>
      <c r="P1005" s="1655"/>
      <c r="Q1005" s="1655"/>
      <c r="R1005" s="1655"/>
      <c r="S1005" s="1655"/>
      <c r="T1005" s="1655"/>
      <c r="U1005" s="1655"/>
      <c r="V1005" s="1655"/>
      <c r="W1005" s="1655"/>
      <c r="X1005" s="1655"/>
      <c r="Y1005" s="1655"/>
      <c r="Z1005" s="1655"/>
      <c r="AA1005" s="1655"/>
      <c r="AB1005" s="1655"/>
      <c r="AC1005" s="1655"/>
      <c r="AD1005" s="1655"/>
      <c r="AE1005" s="1656"/>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648" t="s">
        <v>1868</v>
      </c>
      <c r="E1006" s="1649"/>
      <c r="F1006" s="1649"/>
      <c r="G1006" s="1649"/>
      <c r="H1006" s="1649"/>
      <c r="I1006" s="1649"/>
      <c r="J1006" s="1649"/>
      <c r="K1006" s="1649"/>
      <c r="L1006" s="1649"/>
      <c r="M1006" s="1649"/>
      <c r="N1006" s="1649"/>
      <c r="O1006" s="1649"/>
      <c r="P1006" s="1649"/>
      <c r="Q1006" s="1649"/>
      <c r="R1006" s="1649"/>
      <c r="S1006" s="1649"/>
      <c r="T1006" s="1649"/>
      <c r="U1006" s="1649"/>
      <c r="V1006" s="1649"/>
      <c r="W1006" s="1649"/>
      <c r="X1006" s="1649"/>
      <c r="Y1006" s="1649"/>
      <c r="Z1006" s="1649"/>
      <c r="AA1006" s="1649"/>
      <c r="AB1006" s="1649"/>
      <c r="AC1006" s="1649"/>
      <c r="AD1006" s="1649"/>
      <c r="AE1006" s="1650"/>
      <c r="AF1006" s="86"/>
      <c r="AG1006" s="1681" t="s">
        <v>552</v>
      </c>
      <c r="AH1006" s="1682"/>
      <c r="AI1006" s="87"/>
      <c r="AJ1006" s="1785">
        <f>ROUND(IF(AG1006="yes",AJ991*0.1,0),0)</f>
        <v>10259717</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672" t="s">
        <v>1390</v>
      </c>
      <c r="E1007" s="1673"/>
      <c r="F1007" s="1673"/>
      <c r="G1007" s="1673"/>
      <c r="H1007" s="1673"/>
      <c r="I1007" s="1673"/>
      <c r="J1007" s="1673"/>
      <c r="K1007" s="1673"/>
      <c r="L1007" s="1673"/>
      <c r="M1007" s="1673"/>
      <c r="N1007" s="1673"/>
      <c r="O1007" s="1673"/>
      <c r="P1007" s="1673"/>
      <c r="Q1007" s="1673"/>
      <c r="R1007" s="1673"/>
      <c r="S1007" s="1673"/>
      <c r="T1007" s="1673"/>
      <c r="U1007" s="1673"/>
      <c r="V1007" s="1673"/>
      <c r="W1007" s="1673"/>
      <c r="X1007" s="1673"/>
      <c r="Y1007" s="1673"/>
      <c r="Z1007" s="1673"/>
      <c r="AA1007" s="1673"/>
      <c r="AB1007" s="1673"/>
      <c r="AC1007" s="1673"/>
      <c r="AD1007" s="1673"/>
      <c r="AE1007" s="1674"/>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672"/>
      <c r="E1008" s="1673"/>
      <c r="F1008" s="1673"/>
      <c r="G1008" s="1673"/>
      <c r="H1008" s="1673"/>
      <c r="I1008" s="1673"/>
      <c r="J1008" s="1673"/>
      <c r="K1008" s="1673"/>
      <c r="L1008" s="1673"/>
      <c r="M1008" s="1673"/>
      <c r="N1008" s="1673"/>
      <c r="O1008" s="1673"/>
      <c r="P1008" s="1673"/>
      <c r="Q1008" s="1673"/>
      <c r="R1008" s="1673"/>
      <c r="S1008" s="1673"/>
      <c r="T1008" s="1673"/>
      <c r="U1008" s="1673"/>
      <c r="V1008" s="1673"/>
      <c r="W1008" s="1673"/>
      <c r="X1008" s="1673"/>
      <c r="Y1008" s="1673"/>
      <c r="Z1008" s="1673"/>
      <c r="AA1008" s="1673"/>
      <c r="AB1008" s="1673"/>
      <c r="AC1008" s="1673"/>
      <c r="AD1008" s="1673"/>
      <c r="AE1008" s="1674"/>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657"/>
      <c r="E1009" s="1658"/>
      <c r="F1009" s="1658"/>
      <c r="G1009" s="1658"/>
      <c r="H1009" s="1658"/>
      <c r="I1009" s="1658"/>
      <c r="J1009" s="1658"/>
      <c r="K1009" s="1658"/>
      <c r="L1009" s="1658"/>
      <c r="M1009" s="1658"/>
      <c r="N1009" s="1658"/>
      <c r="O1009" s="1658"/>
      <c r="P1009" s="1658"/>
      <c r="Q1009" s="1658"/>
      <c r="R1009" s="1658"/>
      <c r="S1009" s="1658"/>
      <c r="T1009" s="1658"/>
      <c r="U1009" s="1658"/>
      <c r="V1009" s="1658"/>
      <c r="W1009" s="1658"/>
      <c r="X1009" s="1658"/>
      <c r="Y1009" s="1658"/>
      <c r="Z1009" s="1658"/>
      <c r="AA1009" s="1658"/>
      <c r="AB1009" s="1658"/>
      <c r="AC1009" s="1658"/>
      <c r="AD1009" s="1658"/>
      <c r="AE1009" s="1659"/>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648" t="s">
        <v>1392</v>
      </c>
      <c r="E1010" s="1649"/>
      <c r="F1010" s="1649"/>
      <c r="G1010" s="1649"/>
      <c r="H1010" s="1649"/>
      <c r="I1010" s="1649"/>
      <c r="J1010" s="1649"/>
      <c r="K1010" s="1649"/>
      <c r="L1010" s="1649"/>
      <c r="M1010" s="1649"/>
      <c r="N1010" s="1649"/>
      <c r="O1010" s="1649"/>
      <c r="P1010" s="1649"/>
      <c r="Q1010" s="1649"/>
      <c r="R1010" s="1649"/>
      <c r="S1010" s="1649"/>
      <c r="T1010" s="1649"/>
      <c r="U1010" s="1649"/>
      <c r="V1010" s="1649"/>
      <c r="W1010" s="1649"/>
      <c r="X1010" s="1649"/>
      <c r="Y1010" s="1649"/>
      <c r="Z1010" s="1649"/>
      <c r="AA1010" s="1649"/>
      <c r="AB1010" s="1649"/>
      <c r="AC1010" s="1649"/>
      <c r="AD1010" s="1649"/>
      <c r="AE1010" s="1650"/>
      <c r="AF1010" s="79"/>
      <c r="AG1010" s="1681" t="s">
        <v>675</v>
      </c>
      <c r="AH1010" s="1682"/>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657" t="s">
        <v>1393</v>
      </c>
      <c r="E1011" s="1658"/>
      <c r="F1011" s="1658"/>
      <c r="G1011" s="1658"/>
      <c r="H1011" s="1658"/>
      <c r="I1011" s="1658"/>
      <c r="J1011" s="1658"/>
      <c r="K1011" s="1658"/>
      <c r="L1011" s="1658"/>
      <c r="M1011" s="1658"/>
      <c r="N1011" s="1658"/>
      <c r="O1011" s="1658"/>
      <c r="P1011" s="1658"/>
      <c r="Q1011" s="1658"/>
      <c r="R1011" s="1658"/>
      <c r="S1011" s="1658"/>
      <c r="T1011" s="1658"/>
      <c r="U1011" s="1658"/>
      <c r="V1011" s="1658"/>
      <c r="W1011" s="1658"/>
      <c r="X1011" s="1658"/>
      <c r="Y1011" s="1658"/>
      <c r="Z1011" s="1658"/>
      <c r="AA1011" s="1658"/>
      <c r="AB1011" s="1658"/>
      <c r="AC1011" s="1658"/>
      <c r="AD1011" s="1658"/>
      <c r="AE1011" s="1659"/>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648" t="s">
        <v>1394</v>
      </c>
      <c r="E1012" s="1649"/>
      <c r="F1012" s="1649"/>
      <c r="G1012" s="1649"/>
      <c r="H1012" s="1649"/>
      <c r="I1012" s="1649"/>
      <c r="J1012" s="1649"/>
      <c r="K1012" s="1649"/>
      <c r="L1012" s="1649"/>
      <c r="M1012" s="1649"/>
      <c r="N1012" s="1649"/>
      <c r="O1012" s="1649"/>
      <c r="P1012" s="1649"/>
      <c r="Q1012" s="1649"/>
      <c r="R1012" s="1649"/>
      <c r="S1012" s="1649"/>
      <c r="T1012" s="1649"/>
      <c r="U1012" s="1649"/>
      <c r="V1012" s="1649"/>
      <c r="W1012" s="1649"/>
      <c r="X1012" s="1649"/>
      <c r="Y1012" s="1649"/>
      <c r="Z1012" s="1649"/>
      <c r="AA1012" s="1649"/>
      <c r="AB1012" s="1649"/>
      <c r="AC1012" s="1649"/>
      <c r="AD1012" s="1649"/>
      <c r="AE1012" s="1650"/>
      <c r="AF1012" s="79"/>
      <c r="AG1012" s="1681" t="s">
        <v>675</v>
      </c>
      <c r="AH1012" s="1682"/>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672" t="s">
        <v>1395</v>
      </c>
      <c r="E1013" s="1673"/>
      <c r="F1013" s="1673"/>
      <c r="G1013" s="1673"/>
      <c r="H1013" s="1673"/>
      <c r="I1013" s="1673"/>
      <c r="J1013" s="1673"/>
      <c r="K1013" s="1673"/>
      <c r="L1013" s="1673"/>
      <c r="M1013" s="1673"/>
      <c r="N1013" s="1673"/>
      <c r="O1013" s="1673"/>
      <c r="P1013" s="1673"/>
      <c r="Q1013" s="1673"/>
      <c r="R1013" s="1673"/>
      <c r="S1013" s="1673"/>
      <c r="T1013" s="1673"/>
      <c r="U1013" s="1673"/>
      <c r="V1013" s="1673"/>
      <c r="W1013" s="1673"/>
      <c r="X1013" s="1673"/>
      <c r="Y1013" s="1673"/>
      <c r="Z1013" s="1673"/>
      <c r="AA1013" s="1673"/>
      <c r="AB1013" s="1673"/>
      <c r="AC1013" s="1673"/>
      <c r="AD1013" s="1673"/>
      <c r="AE1013" s="1674"/>
      <c r="AF1013" s="1857" t="str">
        <f>IF(AND(AG1012="yes",AB212&lt;&gt;1),"The project may not be eligible for this boost","")</f>
        <v/>
      </c>
      <c r="AG1013" s="1858"/>
      <c r="AH1013" s="1858"/>
      <c r="AI1013" s="1859"/>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657"/>
      <c r="E1014" s="1658"/>
      <c r="F1014" s="1658"/>
      <c r="G1014" s="1658"/>
      <c r="H1014" s="1658"/>
      <c r="I1014" s="1658"/>
      <c r="J1014" s="1658"/>
      <c r="K1014" s="1658"/>
      <c r="L1014" s="1658"/>
      <c r="M1014" s="1658"/>
      <c r="N1014" s="1658"/>
      <c r="O1014" s="1658"/>
      <c r="P1014" s="1658"/>
      <c r="Q1014" s="1658"/>
      <c r="R1014" s="1658"/>
      <c r="S1014" s="1658"/>
      <c r="T1014" s="1658"/>
      <c r="U1014" s="1658"/>
      <c r="V1014" s="1658"/>
      <c r="W1014" s="1658"/>
      <c r="X1014" s="1658"/>
      <c r="Y1014" s="1658"/>
      <c r="Z1014" s="1658"/>
      <c r="AA1014" s="1658"/>
      <c r="AB1014" s="1658"/>
      <c r="AC1014" s="1658"/>
      <c r="AD1014" s="1658"/>
      <c r="AE1014" s="1659"/>
      <c r="AF1014" s="1860"/>
      <c r="AG1014" s="1861"/>
      <c r="AH1014" s="1861"/>
      <c r="AI1014" s="1862"/>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82" t="s">
        <v>1396</v>
      </c>
      <c r="E1015" s="1783"/>
      <c r="F1015" s="1783"/>
      <c r="G1015" s="1783"/>
      <c r="H1015" s="1783"/>
      <c r="I1015" s="1783"/>
      <c r="J1015" s="1783"/>
      <c r="K1015" s="1783"/>
      <c r="L1015" s="1783"/>
      <c r="M1015" s="1783"/>
      <c r="N1015" s="1783"/>
      <c r="O1015" s="1783"/>
      <c r="P1015" s="1783"/>
      <c r="Q1015" s="1783"/>
      <c r="R1015" s="1783"/>
      <c r="S1015" s="1783"/>
      <c r="T1015" s="1783"/>
      <c r="U1015" s="1783"/>
      <c r="V1015" s="1783"/>
      <c r="W1015" s="1783"/>
      <c r="X1015" s="1783"/>
      <c r="Y1015" s="1783"/>
      <c r="Z1015" s="1783"/>
      <c r="AA1015" s="1783"/>
      <c r="AB1015" s="1783"/>
      <c r="AC1015" s="1783"/>
      <c r="AD1015" s="1783"/>
      <c r="AE1015" s="1784"/>
      <c r="AF1015" s="79"/>
      <c r="AG1015" s="1681" t="s">
        <v>675</v>
      </c>
      <c r="AH1015" s="1682"/>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672" t="s">
        <v>1397</v>
      </c>
      <c r="E1016" s="1673"/>
      <c r="F1016" s="1673"/>
      <c r="G1016" s="1673"/>
      <c r="H1016" s="1673"/>
      <c r="I1016" s="1673"/>
      <c r="J1016" s="1673"/>
      <c r="K1016" s="1673"/>
      <c r="L1016" s="1673"/>
      <c r="M1016" s="1673"/>
      <c r="N1016" s="1673"/>
      <c r="O1016" s="1673"/>
      <c r="P1016" s="1673"/>
      <c r="Q1016" s="1673"/>
      <c r="R1016" s="1673"/>
      <c r="S1016" s="1673"/>
      <c r="T1016" s="1673"/>
      <c r="U1016" s="1673"/>
      <c r="V1016" s="1673"/>
      <c r="W1016" s="1673"/>
      <c r="X1016" s="1673"/>
      <c r="Y1016" s="1673"/>
      <c r="Z1016" s="1673"/>
      <c r="AA1016" s="1673"/>
      <c r="AB1016" s="1673"/>
      <c r="AC1016" s="1673"/>
      <c r="AD1016" s="1673"/>
      <c r="AE1016" s="1674"/>
      <c r="AF1016" s="1851" t="str">
        <f>IF(AND(AG1015="Yes",AY1010=0),AY1022,"")</f>
        <v/>
      </c>
      <c r="AG1016" s="1852"/>
      <c r="AH1016" s="1852"/>
      <c r="AI1016" s="1853"/>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672"/>
      <c r="E1017" s="1673"/>
      <c r="F1017" s="1673"/>
      <c r="G1017" s="1673"/>
      <c r="H1017" s="1673"/>
      <c r="I1017" s="1673"/>
      <c r="J1017" s="1673"/>
      <c r="K1017" s="1673"/>
      <c r="L1017" s="1673"/>
      <c r="M1017" s="1673"/>
      <c r="N1017" s="1673"/>
      <c r="O1017" s="1673"/>
      <c r="P1017" s="1673"/>
      <c r="Q1017" s="1673"/>
      <c r="R1017" s="1673"/>
      <c r="S1017" s="1673"/>
      <c r="T1017" s="1673"/>
      <c r="U1017" s="1673"/>
      <c r="V1017" s="1673"/>
      <c r="W1017" s="1673"/>
      <c r="X1017" s="1673"/>
      <c r="Y1017" s="1673"/>
      <c r="Z1017" s="1673"/>
      <c r="AA1017" s="1673"/>
      <c r="AB1017" s="1673"/>
      <c r="AC1017" s="1673"/>
      <c r="AD1017" s="1673"/>
      <c r="AE1017" s="1674"/>
      <c r="AF1017" s="1851"/>
      <c r="AG1017" s="1852"/>
      <c r="AH1017" s="1852"/>
      <c r="AI1017" s="1853"/>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657"/>
      <c r="E1018" s="1658"/>
      <c r="F1018" s="1658"/>
      <c r="G1018" s="1658"/>
      <c r="H1018" s="1658"/>
      <c r="I1018" s="1658"/>
      <c r="J1018" s="1658"/>
      <c r="K1018" s="1658"/>
      <c r="L1018" s="1658"/>
      <c r="M1018" s="1658"/>
      <c r="N1018" s="1658"/>
      <c r="O1018" s="1658"/>
      <c r="P1018" s="1658"/>
      <c r="Q1018" s="1658"/>
      <c r="R1018" s="1658"/>
      <c r="S1018" s="1658"/>
      <c r="T1018" s="1658"/>
      <c r="U1018" s="1658"/>
      <c r="V1018" s="1658"/>
      <c r="W1018" s="1658"/>
      <c r="X1018" s="1658"/>
      <c r="Y1018" s="1658"/>
      <c r="Z1018" s="1658"/>
      <c r="AA1018" s="1658"/>
      <c r="AB1018" s="1658"/>
      <c r="AC1018" s="1658"/>
      <c r="AD1018" s="1658"/>
      <c r="AE1018" s="1659"/>
      <c r="AF1018" s="1854"/>
      <c r="AG1018" s="1855"/>
      <c r="AH1018" s="1855"/>
      <c r="AI1018" s="1856"/>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1398</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681" t="s">
        <v>675</v>
      </c>
      <c r="AH1019" s="1682"/>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672" t="s">
        <v>1399</v>
      </c>
      <c r="E1021" s="1673"/>
      <c r="F1021" s="1673"/>
      <c r="G1021" s="1673"/>
      <c r="H1021" s="1673"/>
      <c r="I1021" s="1673"/>
      <c r="J1021" s="1673"/>
      <c r="K1021" s="1673"/>
      <c r="L1021" s="1673"/>
      <c r="M1021" s="1673"/>
      <c r="N1021" s="1673"/>
      <c r="O1021" s="1673"/>
      <c r="P1021" s="1673"/>
      <c r="Q1021" s="1673"/>
      <c r="R1021" s="1673"/>
      <c r="S1021" s="1673"/>
      <c r="T1021" s="1673"/>
      <c r="U1021" s="1673"/>
      <c r="V1021" s="1673"/>
      <c r="W1021" s="1673"/>
      <c r="X1021" s="1673"/>
      <c r="Y1021" s="1673"/>
      <c r="Z1021" s="1673"/>
      <c r="AA1021" s="1673"/>
      <c r="AB1021" s="1673"/>
      <c r="AC1021" s="1673"/>
      <c r="AD1021" s="1673"/>
      <c r="AE1021" s="1674"/>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672"/>
      <c r="E1022" s="1673"/>
      <c r="F1022" s="1673"/>
      <c r="G1022" s="1673"/>
      <c r="H1022" s="1673"/>
      <c r="I1022" s="1673"/>
      <c r="J1022" s="1673"/>
      <c r="K1022" s="1673"/>
      <c r="L1022" s="1673"/>
      <c r="M1022" s="1673"/>
      <c r="N1022" s="1673"/>
      <c r="O1022" s="1673"/>
      <c r="P1022" s="1673"/>
      <c r="Q1022" s="1673"/>
      <c r="R1022" s="1673"/>
      <c r="S1022" s="1673"/>
      <c r="T1022" s="1673"/>
      <c r="U1022" s="1673"/>
      <c r="V1022" s="1673"/>
      <c r="W1022" s="1673"/>
      <c r="X1022" s="1673"/>
      <c r="Y1022" s="1673"/>
      <c r="Z1022" s="1673"/>
      <c r="AA1022" s="1673"/>
      <c r="AB1022" s="1673"/>
      <c r="AC1022" s="1673"/>
      <c r="AD1022" s="1673"/>
      <c r="AE1022" s="1674"/>
      <c r="AF1022" s="1660"/>
      <c r="AG1022" s="1660"/>
      <c r="AH1022" s="1660"/>
      <c r="AI1022" s="1660"/>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598</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660"/>
      <c r="AG1023" s="1660"/>
      <c r="AH1023" s="1660"/>
      <c r="AI1023" s="1660"/>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648" t="s">
        <v>1400</v>
      </c>
      <c r="E1024" s="1649"/>
      <c r="F1024" s="1649"/>
      <c r="G1024" s="1649"/>
      <c r="H1024" s="1649"/>
      <c r="I1024" s="1649"/>
      <c r="J1024" s="1649"/>
      <c r="K1024" s="1649"/>
      <c r="L1024" s="1649"/>
      <c r="M1024" s="1649"/>
      <c r="N1024" s="1649"/>
      <c r="O1024" s="1649"/>
      <c r="P1024" s="1649"/>
      <c r="Q1024" s="1649"/>
      <c r="R1024" s="1649"/>
      <c r="S1024" s="1649"/>
      <c r="T1024" s="1649"/>
      <c r="U1024" s="1649"/>
      <c r="V1024" s="1649"/>
      <c r="W1024" s="1649"/>
      <c r="X1024" s="1649"/>
      <c r="Y1024" s="1649"/>
      <c r="Z1024" s="1649"/>
      <c r="AA1024" s="1649"/>
      <c r="AB1024" s="1649"/>
      <c r="AC1024" s="1649"/>
      <c r="AD1024" s="1649"/>
      <c r="AE1024" s="1650"/>
      <c r="AF1024" s="79"/>
      <c r="AG1024" s="1681" t="s">
        <v>552</v>
      </c>
      <c r="AH1024" s="1682"/>
      <c r="AI1024" s="87"/>
      <c r="AJ1024" s="1785">
        <f>ROUND(IF(AG1024="Yes",AF1026,0),0)</f>
        <v>5408397</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672" t="s">
        <v>1875</v>
      </c>
      <c r="E1025" s="1673"/>
      <c r="F1025" s="1673"/>
      <c r="G1025" s="1673"/>
      <c r="H1025" s="1673"/>
      <c r="I1025" s="1673"/>
      <c r="J1025" s="1673"/>
      <c r="K1025" s="1673"/>
      <c r="L1025" s="1673"/>
      <c r="M1025" s="1673"/>
      <c r="N1025" s="1673"/>
      <c r="O1025" s="1673"/>
      <c r="P1025" s="1673"/>
      <c r="Q1025" s="1673"/>
      <c r="R1025" s="1673"/>
      <c r="S1025" s="1673"/>
      <c r="T1025" s="1673"/>
      <c r="U1025" s="1673"/>
      <c r="V1025" s="1673"/>
      <c r="W1025" s="1673"/>
      <c r="X1025" s="1673"/>
      <c r="Y1025" s="1673"/>
      <c r="Z1025" s="1673"/>
      <c r="AA1025" s="1673"/>
      <c r="AB1025" s="1673"/>
      <c r="AC1025" s="1673"/>
      <c r="AD1025" s="1673"/>
      <c r="AE1025" s="1674"/>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672"/>
      <c r="E1026" s="1673"/>
      <c r="F1026" s="1673"/>
      <c r="G1026" s="1673"/>
      <c r="H1026" s="1673"/>
      <c r="I1026" s="1673"/>
      <c r="J1026" s="1673"/>
      <c r="K1026" s="1673"/>
      <c r="L1026" s="1673"/>
      <c r="M1026" s="1673"/>
      <c r="N1026" s="1673"/>
      <c r="O1026" s="1673"/>
      <c r="P1026" s="1673"/>
      <c r="Q1026" s="1673"/>
      <c r="R1026" s="1673"/>
      <c r="S1026" s="1673"/>
      <c r="T1026" s="1673"/>
      <c r="U1026" s="1673"/>
      <c r="V1026" s="1673"/>
      <c r="W1026" s="1673"/>
      <c r="X1026" s="1673"/>
      <c r="Y1026" s="1673"/>
      <c r="Z1026" s="1673"/>
      <c r="AA1026" s="1673"/>
      <c r="AB1026" s="1673"/>
      <c r="AC1026" s="1673"/>
      <c r="AD1026" s="1673"/>
      <c r="AE1026" s="1674"/>
      <c r="AF1026" s="1660">
        <v>5408397</v>
      </c>
      <c r="AG1026" s="1660"/>
      <c r="AH1026" s="1660"/>
      <c r="AI1026" s="1660"/>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657"/>
      <c r="E1027" s="1658"/>
      <c r="F1027" s="1658"/>
      <c r="G1027" s="1658"/>
      <c r="H1027" s="1658"/>
      <c r="I1027" s="1658"/>
      <c r="J1027" s="1658"/>
      <c r="K1027" s="1658"/>
      <c r="L1027" s="1658"/>
      <c r="M1027" s="1658"/>
      <c r="N1027" s="1658"/>
      <c r="O1027" s="1658"/>
      <c r="P1027" s="1658"/>
      <c r="Q1027" s="1658"/>
      <c r="R1027" s="1658"/>
      <c r="S1027" s="1658"/>
      <c r="T1027" s="1658"/>
      <c r="U1027" s="1658"/>
      <c r="V1027" s="1658"/>
      <c r="W1027" s="1658"/>
      <c r="X1027" s="1658"/>
      <c r="Y1027" s="1658"/>
      <c r="Z1027" s="1658"/>
      <c r="AA1027" s="1658"/>
      <c r="AB1027" s="1658"/>
      <c r="AC1027" s="1658"/>
      <c r="AD1027" s="1658"/>
      <c r="AE1027" s="1659"/>
      <c r="AF1027" s="1660"/>
      <c r="AG1027" s="1660"/>
      <c r="AH1027" s="1660"/>
      <c r="AI1027" s="1660"/>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82" t="s">
        <v>1401</v>
      </c>
      <c r="E1028" s="1783"/>
      <c r="F1028" s="1783"/>
      <c r="G1028" s="1783"/>
      <c r="H1028" s="1783"/>
      <c r="I1028" s="1783"/>
      <c r="J1028" s="1783"/>
      <c r="K1028" s="1783"/>
      <c r="L1028" s="1783"/>
      <c r="M1028" s="1783"/>
      <c r="N1028" s="1783"/>
      <c r="O1028" s="1783"/>
      <c r="P1028" s="1783"/>
      <c r="Q1028" s="1783"/>
      <c r="R1028" s="1783"/>
      <c r="S1028" s="1783"/>
      <c r="T1028" s="1783"/>
      <c r="U1028" s="1783"/>
      <c r="V1028" s="1783"/>
      <c r="W1028" s="1783"/>
      <c r="X1028" s="1783"/>
      <c r="Y1028" s="1783"/>
      <c r="Z1028" s="1783"/>
      <c r="AA1028" s="1783"/>
      <c r="AB1028" s="1783"/>
      <c r="AC1028" s="1783"/>
      <c r="AD1028" s="1783"/>
      <c r="AE1028" s="1784"/>
      <c r="AF1028" s="79"/>
      <c r="AG1028" s="1681" t="s">
        <v>552</v>
      </c>
      <c r="AH1028" s="1682"/>
      <c r="AI1028" s="87"/>
      <c r="AJ1028" s="1785">
        <f>ROUND(IF(AG1028="yes",(AJ991*0.1),0),0)</f>
        <v>10259717</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672" t="s">
        <v>1402</v>
      </c>
      <c r="E1029" s="1673"/>
      <c r="F1029" s="1673"/>
      <c r="G1029" s="1673"/>
      <c r="H1029" s="1673"/>
      <c r="I1029" s="1673"/>
      <c r="J1029" s="1673"/>
      <c r="K1029" s="1673"/>
      <c r="L1029" s="1673"/>
      <c r="M1029" s="1673"/>
      <c r="N1029" s="1673"/>
      <c r="O1029" s="1673"/>
      <c r="P1029" s="1673"/>
      <c r="Q1029" s="1673"/>
      <c r="R1029" s="1673"/>
      <c r="S1029" s="1673"/>
      <c r="T1029" s="1673"/>
      <c r="U1029" s="1673"/>
      <c r="V1029" s="1673"/>
      <c r="W1029" s="1673"/>
      <c r="X1029" s="1673"/>
      <c r="Y1029" s="1673"/>
      <c r="Z1029" s="1673"/>
      <c r="AA1029" s="1673"/>
      <c r="AB1029" s="1673"/>
      <c r="AC1029" s="1673"/>
      <c r="AD1029" s="1673"/>
      <c r="AE1029" s="1674"/>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657"/>
      <c r="E1030" s="1658"/>
      <c r="F1030" s="1658"/>
      <c r="G1030" s="1658"/>
      <c r="H1030" s="1658"/>
      <c r="I1030" s="1658"/>
      <c r="J1030" s="1658"/>
      <c r="K1030" s="1658"/>
      <c r="L1030" s="1658"/>
      <c r="M1030" s="1658"/>
      <c r="N1030" s="1658"/>
      <c r="O1030" s="1658"/>
      <c r="P1030" s="1658"/>
      <c r="Q1030" s="1658"/>
      <c r="R1030" s="1658"/>
      <c r="S1030" s="1658"/>
      <c r="T1030" s="1658"/>
      <c r="U1030" s="1658"/>
      <c r="V1030" s="1658"/>
      <c r="W1030" s="1658"/>
      <c r="X1030" s="1658"/>
      <c r="Y1030" s="1658"/>
      <c r="Z1030" s="1658"/>
      <c r="AA1030" s="1658"/>
      <c r="AB1030" s="1658"/>
      <c r="AC1030" s="1658"/>
      <c r="AD1030" s="1658"/>
      <c r="AE1030" s="1659"/>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694</v>
      </c>
      <c r="D1031" s="1648" t="s">
        <v>1871</v>
      </c>
      <c r="E1031" s="1649"/>
      <c r="F1031" s="1649"/>
      <c r="G1031" s="1649"/>
      <c r="H1031" s="1649"/>
      <c r="I1031" s="1649"/>
      <c r="J1031" s="1649"/>
      <c r="K1031" s="1649"/>
      <c r="L1031" s="1649"/>
      <c r="M1031" s="1649"/>
      <c r="N1031" s="1649"/>
      <c r="O1031" s="1649"/>
      <c r="P1031" s="1649"/>
      <c r="Q1031" s="1649"/>
      <c r="R1031" s="1649"/>
      <c r="S1031" s="1649"/>
      <c r="T1031" s="1649"/>
      <c r="U1031" s="1649"/>
      <c r="V1031" s="1649"/>
      <c r="W1031" s="1649"/>
      <c r="X1031" s="1649"/>
      <c r="Y1031" s="1649"/>
      <c r="Z1031" s="1649"/>
      <c r="AA1031" s="1649"/>
      <c r="AB1031" s="1649"/>
      <c r="AC1031" s="1649"/>
      <c r="AD1031" s="1649"/>
      <c r="AE1031" s="1650"/>
      <c r="AF1031" s="79"/>
      <c r="AG1031" s="1681" t="s">
        <v>675</v>
      </c>
      <c r="AH1031" s="1682"/>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694</v>
      </c>
      <c r="D1035" s="1782" t="s">
        <v>1873</v>
      </c>
      <c r="E1035" s="1783"/>
      <c r="F1035" s="1783"/>
      <c r="G1035" s="1783"/>
      <c r="H1035" s="1783"/>
      <c r="I1035" s="1783"/>
      <c r="J1035" s="1783"/>
      <c r="K1035" s="1783"/>
      <c r="L1035" s="1783"/>
      <c r="M1035" s="1783"/>
      <c r="N1035" s="1783"/>
      <c r="O1035" s="1783"/>
      <c r="P1035" s="1783"/>
      <c r="Q1035" s="1783"/>
      <c r="R1035" s="1783"/>
      <c r="S1035" s="1783"/>
      <c r="T1035" s="1783"/>
      <c r="U1035" s="1783"/>
      <c r="V1035" s="1783"/>
      <c r="W1035" s="1783"/>
      <c r="X1035" s="1783"/>
      <c r="Y1035" s="1783"/>
      <c r="Z1035" s="1783"/>
      <c r="AA1035" s="1783"/>
      <c r="AB1035" s="1783"/>
      <c r="AC1035" s="1783"/>
      <c r="AD1035" s="1783"/>
      <c r="AE1035" s="1784"/>
      <c r="AF1035" s="73"/>
      <c r="AG1035" s="1683" t="s">
        <v>552</v>
      </c>
      <c r="AH1035" s="1684"/>
      <c r="AI1035" s="83"/>
      <c r="AJ1035" s="1785">
        <f>ROUND(IF(AND(AG1035="yes",AJ1031=0),(AJ991*0.1),0),0)</f>
        <v>10259717</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1031</v>
      </c>
      <c r="D1040" s="1648" t="s">
        <v>1403</v>
      </c>
      <c r="E1040" s="1649"/>
      <c r="F1040" s="1649"/>
      <c r="G1040" s="1649"/>
      <c r="H1040" s="1649"/>
      <c r="I1040" s="1649"/>
      <c r="J1040" s="1649"/>
      <c r="K1040" s="1649"/>
      <c r="L1040" s="1649"/>
      <c r="M1040" s="1649"/>
      <c r="N1040" s="1649"/>
      <c r="O1040" s="1649"/>
      <c r="P1040" s="1649"/>
      <c r="Q1040" s="1649"/>
      <c r="R1040" s="1649"/>
      <c r="S1040" s="1649"/>
      <c r="T1040" s="1649"/>
      <c r="U1040" s="1649"/>
      <c r="V1040" s="1649"/>
      <c r="W1040" s="1649"/>
      <c r="X1040" s="1649"/>
      <c r="Y1040" s="1649"/>
      <c r="Z1040" s="1649"/>
      <c r="AA1040" s="1649"/>
      <c r="AB1040" s="1649"/>
      <c r="AC1040" s="1649"/>
      <c r="AD1040" s="1649"/>
      <c r="AE1040" s="1650"/>
      <c r="AF1040" s="79"/>
      <c r="AG1040" s="1681" t="s">
        <v>675</v>
      </c>
      <c r="AH1040" s="1682"/>
      <c r="AI1040" s="87"/>
      <c r="AJ1040" s="1785">
        <f>ROUND(IF(AG1040="yes",(AJ991*0.1),0),0)</f>
        <v>0</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672" t="s">
        <v>2499</v>
      </c>
      <c r="E1041" s="1673"/>
      <c r="F1041" s="1673"/>
      <c r="G1041" s="1673"/>
      <c r="H1041" s="1673"/>
      <c r="I1041" s="1673"/>
      <c r="J1041" s="1673"/>
      <c r="K1041" s="1673"/>
      <c r="L1041" s="1673"/>
      <c r="M1041" s="1673"/>
      <c r="N1041" s="1673"/>
      <c r="O1041" s="1673"/>
      <c r="P1041" s="1673"/>
      <c r="Q1041" s="1673"/>
      <c r="R1041" s="1673"/>
      <c r="S1041" s="1673"/>
      <c r="T1041" s="1673"/>
      <c r="U1041" s="1673"/>
      <c r="V1041" s="1673"/>
      <c r="W1041" s="1673"/>
      <c r="X1041" s="1673"/>
      <c r="Y1041" s="1673"/>
      <c r="Z1041" s="1673"/>
      <c r="AA1041" s="1673"/>
      <c r="AB1041" s="1673"/>
      <c r="AC1041" s="1673"/>
      <c r="AD1041" s="1673"/>
      <c r="AE1041" s="1674"/>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672"/>
      <c r="E1042" s="1673"/>
      <c r="F1042" s="1673"/>
      <c r="G1042" s="1673"/>
      <c r="H1042" s="1673"/>
      <c r="I1042" s="1673"/>
      <c r="J1042" s="1673"/>
      <c r="K1042" s="1673"/>
      <c r="L1042" s="1673"/>
      <c r="M1042" s="1673"/>
      <c r="N1042" s="1673"/>
      <c r="O1042" s="1673"/>
      <c r="P1042" s="1673"/>
      <c r="Q1042" s="1673"/>
      <c r="R1042" s="1673"/>
      <c r="S1042" s="1673"/>
      <c r="T1042" s="1673"/>
      <c r="U1042" s="1673"/>
      <c r="V1042" s="1673"/>
      <c r="W1042" s="1673"/>
      <c r="X1042" s="1673"/>
      <c r="Y1042" s="1673"/>
      <c r="Z1042" s="1673"/>
      <c r="AA1042" s="1673"/>
      <c r="AB1042" s="1673"/>
      <c r="AC1042" s="1673"/>
      <c r="AD1042" s="1673"/>
      <c r="AE1042" s="1674"/>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657"/>
      <c r="E1043" s="1658"/>
      <c r="F1043" s="1658"/>
      <c r="G1043" s="1658"/>
      <c r="H1043" s="1658"/>
      <c r="I1043" s="1658"/>
      <c r="J1043" s="1658"/>
      <c r="K1043" s="1658"/>
      <c r="L1043" s="1658"/>
      <c r="M1043" s="1658"/>
      <c r="N1043" s="1658"/>
      <c r="O1043" s="1658"/>
      <c r="P1043" s="1658"/>
      <c r="Q1043" s="1658"/>
      <c r="R1043" s="1658"/>
      <c r="S1043" s="1658"/>
      <c r="T1043" s="1658"/>
      <c r="U1043" s="1658"/>
      <c r="V1043" s="1658"/>
      <c r="W1043" s="1658"/>
      <c r="X1043" s="1658"/>
      <c r="Y1043" s="1658"/>
      <c r="Z1043" s="1658"/>
      <c r="AA1043" s="1658"/>
      <c r="AB1043" s="1658"/>
      <c r="AC1043" s="1658"/>
      <c r="AD1043" s="1658"/>
      <c r="AE1043" s="1659"/>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1869</v>
      </c>
      <c r="D1044" s="1782" t="s">
        <v>2051</v>
      </c>
      <c r="E1044" s="1783"/>
      <c r="F1044" s="1783"/>
      <c r="G1044" s="1783"/>
      <c r="H1044" s="1783"/>
      <c r="I1044" s="1783"/>
      <c r="J1044" s="1783"/>
      <c r="K1044" s="1783"/>
      <c r="L1044" s="1783"/>
      <c r="M1044" s="1783"/>
      <c r="N1044" s="1783"/>
      <c r="O1044" s="1783"/>
      <c r="P1044" s="1783"/>
      <c r="Q1044" s="1783"/>
      <c r="R1044" s="1783"/>
      <c r="S1044" s="1783"/>
      <c r="T1044" s="1783"/>
      <c r="U1044" s="1783"/>
      <c r="V1044" s="1783"/>
      <c r="W1044" s="1783"/>
      <c r="X1044" s="1783"/>
      <c r="Y1044" s="1783"/>
      <c r="Z1044" s="1783"/>
      <c r="AA1044" s="1783"/>
      <c r="AB1044" s="1783"/>
      <c r="AC1044" s="1783"/>
      <c r="AD1044" s="1783"/>
      <c r="AE1044" s="1784"/>
      <c r="AF1044" s="79"/>
      <c r="AG1044" s="1679" t="str">
        <f>IF(X1047&gt;0,"Yes","No")</f>
        <v>Yes</v>
      </c>
      <c r="AH1044" s="1680"/>
      <c r="AI1044" s="87"/>
      <c r="AJ1044" s="1785">
        <f>IF((X1047=0),0,AY1004*AJ991)</f>
        <v>24623320.32</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672" t="s">
        <v>1405</v>
      </c>
      <c r="E1045" s="1673"/>
      <c r="F1045" s="1673"/>
      <c r="G1045" s="1673"/>
      <c r="H1045" s="1673"/>
      <c r="I1045" s="1673"/>
      <c r="J1045" s="1673"/>
      <c r="K1045" s="1673"/>
      <c r="L1045" s="1673"/>
      <c r="M1045" s="1673"/>
      <c r="N1045" s="1673"/>
      <c r="O1045" s="1673"/>
      <c r="P1045" s="1673"/>
      <c r="Q1045" s="1673"/>
      <c r="R1045" s="1673"/>
      <c r="S1045" s="1673"/>
      <c r="T1045" s="1673"/>
      <c r="U1045" s="1673"/>
      <c r="V1045" s="1673"/>
      <c r="W1045" s="1673"/>
      <c r="X1045" s="1673"/>
      <c r="Y1045" s="1673"/>
      <c r="Z1045" s="1673"/>
      <c r="AA1045" s="1673"/>
      <c r="AB1045" s="1673"/>
      <c r="AC1045" s="1673"/>
      <c r="AD1045" s="1673"/>
      <c r="AE1045" s="1674"/>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672"/>
      <c r="E1046" s="1673"/>
      <c r="F1046" s="1673"/>
      <c r="G1046" s="1673"/>
      <c r="H1046" s="1673"/>
      <c r="I1046" s="1673"/>
      <c r="J1046" s="1673"/>
      <c r="K1046" s="1673"/>
      <c r="L1046" s="1673"/>
      <c r="M1046" s="1673"/>
      <c r="N1046" s="1673"/>
      <c r="O1046" s="1673"/>
      <c r="P1046" s="1673"/>
      <c r="Q1046" s="1673"/>
      <c r="R1046" s="1673"/>
      <c r="S1046" s="1673"/>
      <c r="T1046" s="1673"/>
      <c r="U1046" s="1673"/>
      <c r="V1046" s="1673"/>
      <c r="W1046" s="1673"/>
      <c r="X1046" s="1673"/>
      <c r="Y1046" s="1673"/>
      <c r="Z1046" s="1673"/>
      <c r="AA1046" s="1673"/>
      <c r="AB1046" s="1673"/>
      <c r="AC1046" s="1673"/>
      <c r="AD1046" s="1673"/>
      <c r="AE1046" s="1674"/>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677">
        <f>AY1002</f>
        <v>149</v>
      </c>
      <c r="J1047" s="1678"/>
      <c r="K1047" s="7"/>
      <c r="L1047" s="133"/>
      <c r="M1047" s="133"/>
      <c r="N1047" s="133"/>
      <c r="O1047" s="133"/>
      <c r="P1047" s="133"/>
      <c r="Q1047" s="133"/>
      <c r="R1047" s="133"/>
      <c r="S1047" s="133"/>
      <c r="T1047" s="133"/>
      <c r="U1047" s="133"/>
      <c r="V1047" s="134" t="s">
        <v>989</v>
      </c>
      <c r="W1047" s="48"/>
      <c r="X1047" s="1675">
        <f>BG632</f>
        <v>36</v>
      </c>
      <c r="Y1047" s="1676"/>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1870</v>
      </c>
      <c r="D1048" s="1648" t="s">
        <v>2528</v>
      </c>
      <c r="E1048" s="1649"/>
      <c r="F1048" s="1649"/>
      <c r="G1048" s="1649"/>
      <c r="H1048" s="1649"/>
      <c r="I1048" s="1649"/>
      <c r="J1048" s="1649"/>
      <c r="K1048" s="1649"/>
      <c r="L1048" s="1649"/>
      <c r="M1048" s="1649"/>
      <c r="N1048" s="1649"/>
      <c r="O1048" s="1649"/>
      <c r="P1048" s="1649"/>
      <c r="Q1048" s="1649"/>
      <c r="R1048" s="1649"/>
      <c r="S1048" s="1649"/>
      <c r="T1048" s="1649"/>
      <c r="U1048" s="1649"/>
      <c r="V1048" s="1649"/>
      <c r="W1048" s="1649"/>
      <c r="X1048" s="1649"/>
      <c r="Y1048" s="1649"/>
      <c r="Z1048" s="1649"/>
      <c r="AA1048" s="1649"/>
      <c r="AB1048" s="1649"/>
      <c r="AC1048" s="1649"/>
      <c r="AD1048" s="1649"/>
      <c r="AE1048" s="1650"/>
      <c r="AF1048" s="73"/>
      <c r="AG1048" s="1679" t="str">
        <f>IF(X1051&gt;0,"Yes","No")</f>
        <v>Yes</v>
      </c>
      <c r="AH1048" s="1680"/>
      <c r="AI1048" s="83"/>
      <c r="AJ1048" s="1785">
        <f>IF((X1051=0),0,(2*AY1005)*AJ991)</f>
        <v>51298584</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672" t="s">
        <v>1404</v>
      </c>
      <c r="E1049" s="1673"/>
      <c r="F1049" s="1673"/>
      <c r="G1049" s="1673"/>
      <c r="H1049" s="1673"/>
      <c r="I1049" s="1673"/>
      <c r="J1049" s="1673"/>
      <c r="K1049" s="1673"/>
      <c r="L1049" s="1673"/>
      <c r="M1049" s="1673"/>
      <c r="N1049" s="1673"/>
      <c r="O1049" s="1673"/>
      <c r="P1049" s="1673"/>
      <c r="Q1049" s="1673"/>
      <c r="R1049" s="1673"/>
      <c r="S1049" s="1673"/>
      <c r="T1049" s="1673"/>
      <c r="U1049" s="1673"/>
      <c r="V1049" s="1673"/>
      <c r="W1049" s="1673"/>
      <c r="X1049" s="1673"/>
      <c r="Y1049" s="1673"/>
      <c r="Z1049" s="1673"/>
      <c r="AA1049" s="1673"/>
      <c r="AB1049" s="1673"/>
      <c r="AC1049" s="1673"/>
      <c r="AD1049" s="1673"/>
      <c r="AE1049" s="1674"/>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672"/>
      <c r="E1050" s="1673"/>
      <c r="F1050" s="1673"/>
      <c r="G1050" s="1673"/>
      <c r="H1050" s="1673"/>
      <c r="I1050" s="1673"/>
      <c r="J1050" s="1673"/>
      <c r="K1050" s="1673"/>
      <c r="L1050" s="1673"/>
      <c r="M1050" s="1673"/>
      <c r="N1050" s="1673"/>
      <c r="O1050" s="1673"/>
      <c r="P1050" s="1673"/>
      <c r="Q1050" s="1673"/>
      <c r="R1050" s="1673"/>
      <c r="S1050" s="1673"/>
      <c r="T1050" s="1673"/>
      <c r="U1050" s="1673"/>
      <c r="V1050" s="1673"/>
      <c r="W1050" s="1673"/>
      <c r="X1050" s="1673"/>
      <c r="Y1050" s="1673"/>
      <c r="Z1050" s="1673"/>
      <c r="AA1050" s="1673"/>
      <c r="AB1050" s="1673"/>
      <c r="AC1050" s="1673"/>
      <c r="AD1050" s="1673"/>
      <c r="AE1050" s="1674"/>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677">
        <f>AY1002</f>
        <v>149</v>
      </c>
      <c r="J1051" s="1678"/>
      <c r="K1051" s="14"/>
      <c r="L1051" s="133"/>
      <c r="M1051" s="133"/>
      <c r="N1051" s="133"/>
      <c r="O1051" s="133"/>
      <c r="P1051" s="133"/>
      <c r="Q1051" s="133"/>
      <c r="R1051" s="133"/>
      <c r="S1051" s="133"/>
      <c r="T1051" s="133"/>
      <c r="U1051" s="133"/>
      <c r="V1051" s="134" t="s">
        <v>990</v>
      </c>
      <c r="X1051" s="1675">
        <f>BK632</f>
        <v>38</v>
      </c>
      <c r="Y1051" s="1676"/>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670" t="s">
        <v>520</v>
      </c>
      <c r="E1052" s="1670"/>
      <c r="F1052" s="1670"/>
      <c r="G1052" s="1670"/>
      <c r="H1052" s="1670"/>
      <c r="I1052" s="1670"/>
      <c r="J1052" s="1670"/>
      <c r="K1052" s="1670"/>
      <c r="L1052" s="1670"/>
      <c r="M1052" s="1670"/>
      <c r="N1052" s="1670"/>
      <c r="O1052" s="1670"/>
      <c r="P1052" s="1670"/>
      <c r="Q1052" s="1670"/>
      <c r="R1052" s="1670"/>
      <c r="S1052" s="1670"/>
      <c r="T1052" s="1670"/>
      <c r="U1052" s="1670"/>
      <c r="V1052" s="1670"/>
      <c r="W1052" s="1670"/>
      <c r="X1052" s="1670"/>
      <c r="Y1052" s="1670"/>
      <c r="Z1052" s="1670"/>
      <c r="AA1052" s="1670"/>
      <c r="AB1052" s="1670"/>
      <c r="AC1052" s="1670"/>
      <c r="AD1052" s="1670"/>
      <c r="AE1052" s="1670"/>
      <c r="AF1052" s="1670"/>
      <c r="AG1052" s="1670"/>
      <c r="AH1052" s="1670"/>
      <c r="AI1052" s="1671"/>
      <c r="AJ1052" s="1794">
        <f>SUM(AJ991:AQ1051)</f>
        <v>235226054.31999999</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598</v>
      </c>
      <c r="B1064" s="1418"/>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598</v>
      </c>
      <c r="B1070" s="1418"/>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598</v>
      </c>
      <c r="B1076" s="1418"/>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598</v>
      </c>
      <c r="B1083" s="1418"/>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598</v>
      </c>
      <c r="B1086" s="1418"/>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598</v>
      </c>
      <c r="B1091" s="1418"/>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598</v>
      </c>
      <c r="B1094" s="1418"/>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598</v>
      </c>
      <c r="B1098" s="1418"/>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598</v>
      </c>
      <c r="B1103" s="1418"/>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2)HCD - AHSC Loan</v>
      </c>
      <c r="H2" s="139" t="str">
        <f>Application!B629&amp;Application!C629</f>
        <v>3)HCD - IIG Loan</v>
      </c>
      <c r="I2" s="139" t="str">
        <f>Application!B630&amp;Application!C630</f>
        <v>4)City of Richmond - City Loan</v>
      </c>
      <c r="J2" s="139" t="str">
        <f>Application!B631&amp;Application!C631</f>
        <v>5)Pacific West Communities, Inc.</v>
      </c>
      <c r="K2" s="139" t="str">
        <f>Application!B632&amp;Application!C632</f>
        <v>6)City of Richmond - Value of Ground Lease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8250000</v>
      </c>
      <c r="C4" s="147">
        <v>8250000</v>
      </c>
      <c r="D4" s="147"/>
      <c r="E4" s="147"/>
      <c r="F4" s="147"/>
      <c r="G4" s="147"/>
      <c r="H4" s="147"/>
      <c r="I4" s="147"/>
      <c r="J4" s="147"/>
      <c r="K4" s="147">
        <v>8250000</v>
      </c>
      <c r="L4" s="147"/>
      <c r="M4" s="147"/>
      <c r="N4" s="147"/>
      <c r="O4" s="147"/>
      <c r="P4" s="147"/>
      <c r="Q4" s="147"/>
      <c r="R4" s="550">
        <f>SUM(E4:Q4)</f>
        <v>8250000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8250000</v>
      </c>
      <c r="C8" s="146">
        <f t="shared" ref="C8:Q8" si="0">SUM(C4:C7)</f>
        <v>8250000</v>
      </c>
      <c r="D8" s="146">
        <f t="shared" si="0"/>
        <v>0</v>
      </c>
      <c r="E8" s="146">
        <f t="shared" si="0"/>
        <v>0</v>
      </c>
      <c r="F8" s="146">
        <f t="shared" si="0"/>
        <v>0</v>
      </c>
      <c r="G8" s="146">
        <f t="shared" si="0"/>
        <v>0</v>
      </c>
      <c r="H8" s="146">
        <f t="shared" si="0"/>
        <v>0</v>
      </c>
      <c r="I8" s="146">
        <f t="shared" si="0"/>
        <v>0</v>
      </c>
      <c r="J8" s="146">
        <f t="shared" si="0"/>
        <v>0</v>
      </c>
      <c r="K8" s="146">
        <f t="shared" si="0"/>
        <v>8250000</v>
      </c>
      <c r="L8" s="146">
        <f t="shared" si="0"/>
        <v>0</v>
      </c>
      <c r="M8" s="146">
        <f t="shared" si="0"/>
        <v>0</v>
      </c>
      <c r="N8" s="146">
        <f t="shared" si="0"/>
        <v>0</v>
      </c>
      <c r="O8" s="146">
        <f t="shared" si="0"/>
        <v>0</v>
      </c>
      <c r="P8" s="146"/>
      <c r="Q8" s="146">
        <f t="shared" si="0"/>
        <v>0</v>
      </c>
      <c r="R8" s="370">
        <f>SUM(R4:R7)</f>
        <v>8250000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239602</v>
      </c>
      <c r="C10" s="147">
        <v>239602</v>
      </c>
      <c r="D10" s="147"/>
      <c r="E10" s="147">
        <v>239602</v>
      </c>
      <c r="F10" s="147"/>
      <c r="G10" s="147"/>
      <c r="H10" s="147"/>
      <c r="I10" s="147"/>
      <c r="J10" s="147"/>
      <c r="K10" s="147"/>
      <c r="L10" s="147"/>
      <c r="M10" s="147"/>
      <c r="N10" s="147"/>
      <c r="O10" s="147"/>
      <c r="P10" s="147"/>
      <c r="Q10" s="147"/>
      <c r="R10" s="550">
        <f>SUM(E10:Q10)</f>
        <v>239602</v>
      </c>
      <c r="S10" s="147">
        <f>R10</f>
        <v>239602</v>
      </c>
      <c r="T10" s="147"/>
      <c r="U10" s="143"/>
    </row>
    <row r="11" spans="1:21" s="144" customFormat="1">
      <c r="A11" s="149" t="s">
        <v>603</v>
      </c>
      <c r="B11" s="146">
        <f>SUM(C11:D11)</f>
        <v>239602</v>
      </c>
      <c r="C11" s="146">
        <f t="shared" ref="C11:Q11" si="1">SUM(C9:C10)</f>
        <v>239602</v>
      </c>
      <c r="D11" s="146">
        <f t="shared" si="1"/>
        <v>0</v>
      </c>
      <c r="E11" s="146">
        <f t="shared" si="1"/>
        <v>239602</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239602</v>
      </c>
      <c r="S11" s="148"/>
      <c r="T11" s="150">
        <f>SUM(T9:T10)</f>
        <v>0</v>
      </c>
      <c r="U11" s="143"/>
    </row>
    <row r="12" spans="1:21" s="144" customFormat="1">
      <c r="A12" s="149" t="s">
        <v>84</v>
      </c>
      <c r="B12" s="146">
        <f t="shared" ref="B12:Q12" si="2">SUM(B8+B11)</f>
        <v>8489602</v>
      </c>
      <c r="C12" s="146">
        <f t="shared" si="2"/>
        <v>8489602</v>
      </c>
      <c r="D12" s="146">
        <f t="shared" si="2"/>
        <v>0</v>
      </c>
      <c r="E12" s="146">
        <f t="shared" si="2"/>
        <v>239602</v>
      </c>
      <c r="F12" s="146">
        <f t="shared" si="2"/>
        <v>0</v>
      </c>
      <c r="G12" s="146">
        <f t="shared" si="2"/>
        <v>0</v>
      </c>
      <c r="H12" s="146">
        <f t="shared" si="2"/>
        <v>0</v>
      </c>
      <c r="I12" s="146">
        <f t="shared" si="2"/>
        <v>0</v>
      </c>
      <c r="J12" s="146">
        <f t="shared" si="2"/>
        <v>0</v>
      </c>
      <c r="K12" s="146">
        <f t="shared" si="2"/>
        <v>8250000</v>
      </c>
      <c r="L12" s="146">
        <f t="shared" si="2"/>
        <v>0</v>
      </c>
      <c r="M12" s="146">
        <f t="shared" si="2"/>
        <v>0</v>
      </c>
      <c r="N12" s="146">
        <f t="shared" si="2"/>
        <v>0</v>
      </c>
      <c r="O12" s="146">
        <f t="shared" si="2"/>
        <v>0</v>
      </c>
      <c r="P12" s="146"/>
      <c r="Q12" s="146">
        <f t="shared" si="2"/>
        <v>0</v>
      </c>
      <c r="R12" s="370">
        <f>SUM(R8+R11)</f>
        <v>8489602</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3450000</v>
      </c>
      <c r="C29" s="147">
        <v>3450000</v>
      </c>
      <c r="D29" s="147"/>
      <c r="E29" s="147">
        <v>3450000</v>
      </c>
      <c r="F29" s="147"/>
      <c r="G29" s="147"/>
      <c r="H29" s="147"/>
      <c r="I29" s="147"/>
      <c r="J29" s="147"/>
      <c r="K29" s="147"/>
      <c r="L29" s="147"/>
      <c r="M29" s="147"/>
      <c r="N29" s="147"/>
      <c r="O29" s="147"/>
      <c r="P29" s="147"/>
      <c r="Q29" s="147"/>
      <c r="R29" s="550">
        <f t="shared" ref="R29:R37" si="7">SUM(E29:Q29)</f>
        <v>3450000</v>
      </c>
      <c r="S29" s="147">
        <f>R29</f>
        <v>3450000</v>
      </c>
      <c r="T29" s="147"/>
      <c r="U29" s="143"/>
    </row>
    <row r="30" spans="1:21" s="144" customFormat="1">
      <c r="A30" s="145" t="s">
        <v>606</v>
      </c>
      <c r="B30" s="146">
        <f t="shared" si="6"/>
        <v>64198403</v>
      </c>
      <c r="C30" s="147">
        <v>64198403</v>
      </c>
      <c r="D30" s="147"/>
      <c r="E30" s="147">
        <v>12353621</v>
      </c>
      <c r="F30" s="147">
        <v>16844782</v>
      </c>
      <c r="G30" s="147">
        <v>27813000</v>
      </c>
      <c r="H30" s="147">
        <v>5000000</v>
      </c>
      <c r="I30" s="147">
        <v>2187000</v>
      </c>
      <c r="J30" s="147"/>
      <c r="K30" s="147"/>
      <c r="L30" s="147"/>
      <c r="M30" s="147"/>
      <c r="N30" s="147"/>
      <c r="O30" s="147"/>
      <c r="P30" s="147"/>
      <c r="Q30" s="147"/>
      <c r="R30" s="550">
        <f t="shared" si="7"/>
        <v>64198403</v>
      </c>
      <c r="S30" s="147">
        <f>R30</f>
        <v>64198403</v>
      </c>
      <c r="T30" s="147"/>
      <c r="U30" s="143"/>
    </row>
    <row r="31" spans="1:21" s="144" customFormat="1">
      <c r="A31" s="145" t="s">
        <v>607</v>
      </c>
      <c r="B31" s="146">
        <f t="shared" si="6"/>
        <v>4073280</v>
      </c>
      <c r="C31" s="147">
        <v>4073280</v>
      </c>
      <c r="D31" s="147"/>
      <c r="E31" s="147">
        <v>4073280</v>
      </c>
      <c r="F31" s="147"/>
      <c r="G31" s="147"/>
      <c r="H31" s="147"/>
      <c r="I31" s="147"/>
      <c r="J31" s="147"/>
      <c r="K31" s="147"/>
      <c r="L31" s="147"/>
      <c r="M31" s="147"/>
      <c r="N31" s="147"/>
      <c r="O31" s="147"/>
      <c r="P31" s="147"/>
      <c r="Q31" s="147"/>
      <c r="R31" s="550">
        <f t="shared" si="7"/>
        <v>4073280</v>
      </c>
      <c r="S31" s="147">
        <f>R31</f>
        <v>4073280</v>
      </c>
      <c r="T31" s="147"/>
      <c r="U31" s="143"/>
    </row>
    <row r="32" spans="1:21" s="144" customFormat="1">
      <c r="A32" s="145" t="s">
        <v>137</v>
      </c>
      <c r="B32" s="146">
        <f t="shared" si="6"/>
        <v>1357760</v>
      </c>
      <c r="C32" s="147">
        <v>1357760</v>
      </c>
      <c r="D32" s="147"/>
      <c r="E32" s="147">
        <v>1357760</v>
      </c>
      <c r="F32" s="147"/>
      <c r="G32" s="147"/>
      <c r="H32" s="147"/>
      <c r="I32" s="147"/>
      <c r="J32" s="147"/>
      <c r="K32" s="147"/>
      <c r="L32" s="147"/>
      <c r="M32" s="147"/>
      <c r="N32" s="147"/>
      <c r="O32" s="147"/>
      <c r="P32" s="147"/>
      <c r="Q32" s="147"/>
      <c r="R32" s="550">
        <f t="shared" si="7"/>
        <v>1357760</v>
      </c>
      <c r="S32" s="147">
        <f>R32</f>
        <v>1357760</v>
      </c>
      <c r="T32" s="147"/>
      <c r="U32" s="143"/>
    </row>
    <row r="33" spans="1:21" s="144" customFormat="1">
      <c r="A33" s="145" t="s">
        <v>138</v>
      </c>
      <c r="B33" s="146">
        <f t="shared" si="6"/>
        <v>4073280</v>
      </c>
      <c r="C33" s="147">
        <v>4073280</v>
      </c>
      <c r="D33" s="147"/>
      <c r="E33" s="147">
        <v>4073280</v>
      </c>
      <c r="F33" s="147"/>
      <c r="G33" s="147"/>
      <c r="H33" s="147"/>
      <c r="I33" s="147"/>
      <c r="J33" s="147"/>
      <c r="K33" s="147"/>
      <c r="L33" s="147"/>
      <c r="M33" s="147"/>
      <c r="N33" s="147"/>
      <c r="O33" s="147"/>
      <c r="P33" s="147"/>
      <c r="Q33" s="147"/>
      <c r="R33" s="550">
        <f t="shared" si="7"/>
        <v>4073280</v>
      </c>
      <c r="S33" s="147">
        <f>R33</f>
        <v>4073280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725000</v>
      </c>
      <c r="C35" s="147">
        <v>725000</v>
      </c>
      <c r="D35" s="147"/>
      <c r="E35" s="147">
        <v>725000</v>
      </c>
      <c r="F35" s="147"/>
      <c r="G35" s="147"/>
      <c r="H35" s="147"/>
      <c r="I35" s="147"/>
      <c r="J35" s="147"/>
      <c r="K35" s="147"/>
      <c r="L35" s="147"/>
      <c r="M35" s="147"/>
      <c r="N35" s="147"/>
      <c r="O35" s="147"/>
      <c r="P35" s="147"/>
      <c r="Q35" s="147"/>
      <c r="R35" s="550">
        <f t="shared" si="7"/>
        <v>725000</v>
      </c>
      <c r="S35" s="147">
        <f>R35</f>
        <v>725000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77877723</v>
      </c>
      <c r="C38" s="146">
        <f>SUM(C29:C37)</f>
        <v>77877723</v>
      </c>
      <c r="D38" s="146">
        <f t="shared" ref="D38:Q38" si="8">SUM(D29:D37)</f>
        <v>0</v>
      </c>
      <c r="E38" s="146">
        <f t="shared" si="8"/>
        <v>26032941</v>
      </c>
      <c r="F38" s="146">
        <f t="shared" si="8"/>
        <v>16844782</v>
      </c>
      <c r="G38" s="146">
        <f t="shared" si="8"/>
        <v>27813000</v>
      </c>
      <c r="H38" s="146">
        <f t="shared" si="8"/>
        <v>5000000</v>
      </c>
      <c r="I38" s="146">
        <f t="shared" si="8"/>
        <v>2187000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77877723</v>
      </c>
      <c r="S38" s="150">
        <f>SUM(S29:S37)</f>
        <v>77877723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750000</v>
      </c>
      <c r="C40" s="147">
        <v>750000</v>
      </c>
      <c r="D40" s="147"/>
      <c r="E40" s="147">
        <v>750000</v>
      </c>
      <c r="F40" s="147"/>
      <c r="G40" s="147"/>
      <c r="H40" s="147"/>
      <c r="I40" s="147"/>
      <c r="J40" s="147"/>
      <c r="K40" s="147"/>
      <c r="L40" s="147"/>
      <c r="M40" s="147"/>
      <c r="N40" s="147"/>
      <c r="O40" s="147"/>
      <c r="P40" s="147"/>
      <c r="Q40" s="147"/>
      <c r="R40" s="550">
        <f>SUM(E40:Q40)</f>
        <v>750000</v>
      </c>
      <c r="S40" s="147">
        <f>R40</f>
        <v>750000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50">
        <f>SUM(E41:Q41)</f>
        <v>150000</v>
      </c>
      <c r="S41" s="147">
        <f>R41</f>
        <v>150000</v>
      </c>
      <c r="T41" s="147"/>
      <c r="U41" s="143"/>
    </row>
    <row r="42" spans="1:21" s="144" customFormat="1">
      <c r="A42" s="149" t="s">
        <v>147</v>
      </c>
      <c r="B42" s="146">
        <f>SUM(C42:D42)</f>
        <v>900000</v>
      </c>
      <c r="C42" s="146">
        <f>SUM(C39:C41)</f>
        <v>900000</v>
      </c>
      <c r="D42" s="146">
        <f>SUM(D39:D41)</f>
        <v>0</v>
      </c>
      <c r="E42" s="146">
        <f t="shared" ref="E42:T42" si="9">SUM(E40:E41)</f>
        <v>900000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900000</v>
      </c>
      <c r="S42" s="150">
        <f t="shared" si="9"/>
        <v>900000</v>
      </c>
      <c r="T42" s="150">
        <f t="shared" si="9"/>
        <v>0</v>
      </c>
      <c r="U42" s="143"/>
    </row>
    <row r="43" spans="1:21" s="144" customFormat="1">
      <c r="A43" s="149" t="s">
        <v>148</v>
      </c>
      <c r="B43" s="146">
        <f>SUM(C43:D43)</f>
        <v>285000</v>
      </c>
      <c r="C43" s="147">
        <v>285000</v>
      </c>
      <c r="D43" s="147"/>
      <c r="E43" s="147">
        <v>285000</v>
      </c>
      <c r="F43" s="147"/>
      <c r="G43" s="147"/>
      <c r="H43" s="147"/>
      <c r="I43" s="147"/>
      <c r="J43" s="147"/>
      <c r="K43" s="147"/>
      <c r="L43" s="147"/>
      <c r="M43" s="147"/>
      <c r="N43" s="147"/>
      <c r="O43" s="147"/>
      <c r="P43" s="147"/>
      <c r="Q43" s="147"/>
      <c r="R43" s="550">
        <f>SUM(E43:Q43)</f>
        <v>285000</v>
      </c>
      <c r="S43" s="147">
        <f>R43</f>
        <v>285000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5560000</v>
      </c>
      <c r="C45" s="147">
        <f>3960000+1600000</f>
        <v>5560000</v>
      </c>
      <c r="D45" s="147"/>
      <c r="E45" s="147">
        <f>3960000+1600000</f>
        <v>5560000</v>
      </c>
      <c r="F45" s="147"/>
      <c r="G45" s="147"/>
      <c r="H45" s="147"/>
      <c r="I45" s="147"/>
      <c r="J45" s="147"/>
      <c r="K45" s="147"/>
      <c r="L45" s="147"/>
      <c r="M45" s="147"/>
      <c r="N45" s="147"/>
      <c r="O45" s="147"/>
      <c r="P45" s="147"/>
      <c r="Q45" s="147"/>
      <c r="R45" s="550">
        <f t="shared" ref="R45:R53" si="11">SUM(E45:Q45)</f>
        <v>5560000</v>
      </c>
      <c r="S45" s="147">
        <f>R45</f>
        <v>5560000</v>
      </c>
      <c r="T45" s="147"/>
      <c r="U45" s="143"/>
    </row>
    <row r="46" spans="1:21" s="144" customFormat="1">
      <c r="A46" s="145" t="s">
        <v>151</v>
      </c>
      <c r="B46" s="146">
        <f t="shared" si="10"/>
        <v>495000</v>
      </c>
      <c r="C46" s="147">
        <v>495000</v>
      </c>
      <c r="D46" s="147"/>
      <c r="E46" s="147">
        <v>495000</v>
      </c>
      <c r="F46" s="147"/>
      <c r="G46" s="147"/>
      <c r="H46" s="147"/>
      <c r="I46" s="147"/>
      <c r="J46" s="147"/>
      <c r="K46" s="147"/>
      <c r="L46" s="147"/>
      <c r="M46" s="147"/>
      <c r="N46" s="147"/>
      <c r="O46" s="147"/>
      <c r="P46" s="147"/>
      <c r="Q46" s="147"/>
      <c r="R46" s="550">
        <f t="shared" si="11"/>
        <v>495000</v>
      </c>
      <c r="S46" s="147">
        <f>R46</f>
        <v>495000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150000</v>
      </c>
      <c r="C49" s="147">
        <v>150000</v>
      </c>
      <c r="D49" s="147"/>
      <c r="E49" s="147">
        <v>150000</v>
      </c>
      <c r="F49" s="147"/>
      <c r="G49" s="147"/>
      <c r="H49" s="147"/>
      <c r="I49" s="147"/>
      <c r="J49" s="147"/>
      <c r="K49" s="147"/>
      <c r="L49" s="147"/>
      <c r="M49" s="147"/>
      <c r="N49" s="147"/>
      <c r="O49" s="147"/>
      <c r="P49" s="147"/>
      <c r="Q49" s="147"/>
      <c r="R49" s="550">
        <f t="shared" si="11"/>
        <v>150000</v>
      </c>
      <c r="S49" s="147">
        <f>R49</f>
        <v>150000</v>
      </c>
      <c r="T49" s="147"/>
      <c r="U49" s="143"/>
    </row>
    <row r="50" spans="1:21" s="144" customFormat="1">
      <c r="A50" s="145" t="s">
        <v>156</v>
      </c>
      <c r="B50" s="146">
        <f t="shared" si="10"/>
        <v>50000</v>
      </c>
      <c r="C50" s="147">
        <v>50000</v>
      </c>
      <c r="D50" s="147"/>
      <c r="E50" s="147">
        <v>50000</v>
      </c>
      <c r="F50" s="147"/>
      <c r="G50" s="147"/>
      <c r="H50" s="147"/>
      <c r="I50" s="147"/>
      <c r="J50" s="147"/>
      <c r="K50" s="147"/>
      <c r="L50" s="147"/>
      <c r="M50" s="147"/>
      <c r="N50" s="147"/>
      <c r="O50" s="147"/>
      <c r="P50" s="147"/>
      <c r="Q50" s="147"/>
      <c r="R50" s="550">
        <f t="shared" si="11"/>
        <v>50000</v>
      </c>
      <c r="S50" s="147">
        <f>R50</f>
        <v>50000</v>
      </c>
      <c r="T50" s="147"/>
      <c r="U50" s="143"/>
    </row>
    <row r="51" spans="1:21" s="144" customFormat="1">
      <c r="A51" s="304" t="s">
        <v>154</v>
      </c>
      <c r="B51" s="146">
        <f t="shared" si="10"/>
        <v>20000</v>
      </c>
      <c r="C51" s="147">
        <v>20000</v>
      </c>
      <c r="D51" s="147"/>
      <c r="E51" s="147">
        <v>20000</v>
      </c>
      <c r="F51" s="147"/>
      <c r="G51" s="147"/>
      <c r="H51" s="147"/>
      <c r="I51" s="147"/>
      <c r="J51" s="147"/>
      <c r="K51" s="147"/>
      <c r="L51" s="147"/>
      <c r="M51" s="147"/>
      <c r="N51" s="147"/>
      <c r="O51" s="147"/>
      <c r="P51" s="147"/>
      <c r="Q51" s="147"/>
      <c r="R51" s="550">
        <f t="shared" si="11"/>
        <v>20000</v>
      </c>
      <c r="S51" s="147">
        <f>R51</f>
        <v>20000</v>
      </c>
      <c r="T51" s="147"/>
      <c r="U51" s="143"/>
    </row>
    <row r="52" spans="1:21" s="144" customFormat="1">
      <c r="A52" s="145" t="s">
        <v>155</v>
      </c>
      <c r="B52" s="146">
        <f t="shared" si="10"/>
        <v>494400</v>
      </c>
      <c r="C52" s="147">
        <v>494400</v>
      </c>
      <c r="D52" s="147"/>
      <c r="E52" s="147">
        <v>494400</v>
      </c>
      <c r="F52" s="147"/>
      <c r="G52" s="147"/>
      <c r="H52" s="147"/>
      <c r="I52" s="147"/>
      <c r="J52" s="147"/>
      <c r="K52" s="147"/>
      <c r="L52" s="147"/>
      <c r="M52" s="147"/>
      <c r="N52" s="147"/>
      <c r="O52" s="147"/>
      <c r="P52" s="147"/>
      <c r="Q52" s="147"/>
      <c r="R52" s="550">
        <f t="shared" si="11"/>
        <v>494400</v>
      </c>
      <c r="S52" s="147">
        <f>R52</f>
        <v>494400</v>
      </c>
      <c r="T52" s="147"/>
      <c r="U52" s="143"/>
    </row>
    <row r="53" spans="1:21" s="144" customFormat="1">
      <c r="A53" s="1193" t="s">
        <v>2732</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6889400</v>
      </c>
      <c r="C54" s="150">
        <f t="shared" ref="C54:T54" si="12">SUM(C45:C53)</f>
        <v>6889400</v>
      </c>
      <c r="D54" s="150">
        <f t="shared" si="12"/>
        <v>0</v>
      </c>
      <c r="E54" s="150">
        <f t="shared" si="12"/>
        <v>6889400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6889400</v>
      </c>
      <c r="S54" s="150">
        <f t="shared" si="12"/>
        <v>6889400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88000</v>
      </c>
      <c r="C56" s="147">
        <v>88000</v>
      </c>
      <c r="D56" s="147"/>
      <c r="E56" s="147"/>
      <c r="F56" s="147">
        <v>88000</v>
      </c>
      <c r="G56" s="147"/>
      <c r="H56" s="147"/>
      <c r="I56" s="147"/>
      <c r="J56" s="147"/>
      <c r="K56" s="147"/>
      <c r="L56" s="147"/>
      <c r="M56" s="147"/>
      <c r="N56" s="147"/>
      <c r="O56" s="147"/>
      <c r="P56" s="147"/>
      <c r="Q56" s="147"/>
      <c r="R56" s="550">
        <f t="shared" ref="R56:R61" si="14">SUM(E56:Q56)</f>
        <v>88000</v>
      </c>
      <c r="S56" s="148"/>
      <c r="T56" s="148"/>
      <c r="U56" s="143"/>
    </row>
    <row r="57" spans="1:21" s="204" customFormat="1">
      <c r="A57" s="198" t="s">
        <v>152</v>
      </c>
      <c r="B57" s="205">
        <f t="shared" si="13"/>
        <v>15000</v>
      </c>
      <c r="C57" s="202">
        <v>15000</v>
      </c>
      <c r="D57" s="202"/>
      <c r="E57" s="202"/>
      <c r="F57" s="202">
        <v>15000</v>
      </c>
      <c r="G57" s="202"/>
      <c r="H57" s="202"/>
      <c r="I57" s="202"/>
      <c r="J57" s="202"/>
      <c r="K57" s="202"/>
      <c r="L57" s="202"/>
      <c r="M57" s="202"/>
      <c r="N57" s="202"/>
      <c r="O57" s="202"/>
      <c r="P57" s="202"/>
      <c r="Q57" s="202"/>
      <c r="R57" s="550">
        <f t="shared" si="14"/>
        <v>15000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113000</v>
      </c>
      <c r="C62" s="146">
        <f t="shared" ref="C62:R62" si="15">SUM(C56:C61)</f>
        <v>113000</v>
      </c>
      <c r="D62" s="146">
        <f t="shared" si="15"/>
        <v>0</v>
      </c>
      <c r="E62" s="146">
        <f t="shared" si="15"/>
        <v>0</v>
      </c>
      <c r="F62" s="146">
        <f t="shared" si="15"/>
        <v>113000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113000</v>
      </c>
      <c r="S62" s="148"/>
      <c r="T62" s="148"/>
      <c r="U62" s="143"/>
    </row>
    <row r="63" spans="1:21" s="144" customFormat="1">
      <c r="A63" s="154" t="s">
        <v>302</v>
      </c>
      <c r="B63" s="146">
        <f t="shared" ref="B63:R63" si="16">SUM(B8+B11+B13+B14+B15+B26+B27+B38+B42+B43+B54+B62)</f>
        <v>94554725</v>
      </c>
      <c r="C63" s="146">
        <f t="shared" si="16"/>
        <v>94554725</v>
      </c>
      <c r="D63" s="146">
        <f t="shared" si="16"/>
        <v>0</v>
      </c>
      <c r="E63" s="146">
        <f t="shared" si="16"/>
        <v>34346943</v>
      </c>
      <c r="F63" s="146">
        <f t="shared" si="16"/>
        <v>16957782</v>
      </c>
      <c r="G63" s="146">
        <f t="shared" si="16"/>
        <v>27813000</v>
      </c>
      <c r="H63" s="146">
        <f t="shared" si="16"/>
        <v>5000000</v>
      </c>
      <c r="I63" s="146">
        <f t="shared" si="16"/>
        <v>2187000</v>
      </c>
      <c r="J63" s="146">
        <f t="shared" si="16"/>
        <v>0</v>
      </c>
      <c r="K63" s="146">
        <f t="shared" si="16"/>
        <v>8250000</v>
      </c>
      <c r="L63" s="146">
        <f t="shared" si="16"/>
        <v>0</v>
      </c>
      <c r="M63" s="146">
        <f t="shared" si="16"/>
        <v>0</v>
      </c>
      <c r="N63" s="146">
        <f t="shared" si="16"/>
        <v>0</v>
      </c>
      <c r="O63" s="146">
        <f t="shared" si="16"/>
        <v>0</v>
      </c>
      <c r="P63" s="146">
        <f t="shared" si="16"/>
        <v>0</v>
      </c>
      <c r="Q63" s="146">
        <f t="shared" si="16"/>
        <v>0</v>
      </c>
      <c r="R63" s="370">
        <f t="shared" si="16"/>
        <v>94554725</v>
      </c>
      <c r="S63" s="146">
        <f>SUM(S10+S13+S14+S15+S26+S27+S38+S42+S43+S54)</f>
        <v>86191725</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70000</v>
      </c>
      <c r="C65" s="147">
        <v>70000</v>
      </c>
      <c r="D65" s="147"/>
      <c r="E65" s="147">
        <v>70000</v>
      </c>
      <c r="F65" s="147"/>
      <c r="G65" s="147"/>
      <c r="H65" s="147"/>
      <c r="I65" s="147"/>
      <c r="J65" s="147"/>
      <c r="K65" s="147"/>
      <c r="L65" s="147"/>
      <c r="M65" s="147"/>
      <c r="N65" s="147"/>
      <c r="O65" s="147"/>
      <c r="P65" s="147"/>
      <c r="Q65" s="147"/>
      <c r="R65" s="550">
        <f>SUM(E65:Q65)</f>
        <v>70000</v>
      </c>
      <c r="S65" s="147">
        <f>R65</f>
        <v>70000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2733</v>
      </c>
      <c r="B69" s="146">
        <f>SUM(C69+D69)</f>
        <v>90000</v>
      </c>
      <c r="C69" s="147">
        <v>90000</v>
      </c>
      <c r="D69" s="147"/>
      <c r="E69" s="147">
        <v>90000</v>
      </c>
      <c r="F69" s="147"/>
      <c r="G69" s="147"/>
      <c r="H69" s="147"/>
      <c r="I69" s="147"/>
      <c r="J69" s="147"/>
      <c r="K69" s="147"/>
      <c r="L69" s="147"/>
      <c r="M69" s="147"/>
      <c r="N69" s="147"/>
      <c r="O69" s="147"/>
      <c r="P69" s="147"/>
      <c r="Q69" s="147"/>
      <c r="R69" s="550">
        <f>SUM(E69:Q69)</f>
        <v>90000</v>
      </c>
      <c r="S69" s="147"/>
      <c r="T69" s="147"/>
      <c r="U69" s="143"/>
    </row>
    <row r="70" spans="1:21" s="144" customFormat="1">
      <c r="A70" s="149" t="s">
        <v>1753</v>
      </c>
      <c r="B70" s="146">
        <f>SUM(C70:D70)</f>
        <v>160000</v>
      </c>
      <c r="C70" s="146">
        <f>SUM(C65:C69)</f>
        <v>160000</v>
      </c>
      <c r="D70" s="146">
        <f>SUM(D65:D69)</f>
        <v>0</v>
      </c>
      <c r="E70" s="146">
        <f t="shared" ref="E70:T70" si="17">SUM(E65:E69)</f>
        <v>160000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160000</v>
      </c>
      <c r="S70" s="150">
        <f t="shared" si="17"/>
        <v>70000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642218</v>
      </c>
      <c r="C75" s="147">
        <v>642218</v>
      </c>
      <c r="D75" s="147"/>
      <c r="E75" s="147"/>
      <c r="F75" s="147">
        <v>642218</v>
      </c>
      <c r="G75" s="147"/>
      <c r="H75" s="147"/>
      <c r="I75" s="147"/>
      <c r="J75" s="147"/>
      <c r="K75" s="147"/>
      <c r="L75" s="147"/>
      <c r="M75" s="147"/>
      <c r="N75" s="147"/>
      <c r="O75" s="147"/>
      <c r="P75" s="147"/>
      <c r="Q75" s="147"/>
      <c r="R75" s="550">
        <f>SUM(E75:Q75)</f>
        <v>642218</v>
      </c>
      <c r="S75" s="148"/>
      <c r="T75" s="148"/>
      <c r="U75" s="143"/>
    </row>
    <row r="76" spans="1:21" s="144" customFormat="1">
      <c r="A76" s="1193" t="s">
        <v>2734</v>
      </c>
      <c r="B76" s="146">
        <f>SUM(C76+D76)</f>
        <v>500000</v>
      </c>
      <c r="C76" s="147">
        <v>500000</v>
      </c>
      <c r="D76" s="147"/>
      <c r="E76" s="147">
        <v>500000</v>
      </c>
      <c r="F76" s="147"/>
      <c r="G76" s="147"/>
      <c r="H76" s="147"/>
      <c r="I76" s="147"/>
      <c r="J76" s="147"/>
      <c r="K76" s="147"/>
      <c r="L76" s="147"/>
      <c r="M76" s="147"/>
      <c r="N76" s="147"/>
      <c r="O76" s="147"/>
      <c r="P76" s="147"/>
      <c r="Q76" s="147"/>
      <c r="R76" s="550">
        <f>SUM(E76:Q76)</f>
        <v>500000</v>
      </c>
      <c r="S76" s="148"/>
      <c r="T76" s="148"/>
      <c r="U76" s="143"/>
    </row>
    <row r="77" spans="1:21" s="144" customFormat="1">
      <c r="A77" s="149" t="s">
        <v>613</v>
      </c>
      <c r="B77" s="146">
        <f>SUM(C77:D77)</f>
        <v>1142218</v>
      </c>
      <c r="C77" s="146">
        <f>SUM(C72:C76)</f>
        <v>1142218</v>
      </c>
      <c r="D77" s="146">
        <f>SUM(D72:D76)</f>
        <v>0</v>
      </c>
      <c r="E77" s="146">
        <f t="shared" ref="E77:Q77" si="18">SUM(E72:E76)</f>
        <v>500000</v>
      </c>
      <c r="F77" s="146">
        <f t="shared" si="18"/>
        <v>642218</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1142218</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3900000</v>
      </c>
      <c r="C79" s="147">
        <v>3900000</v>
      </c>
      <c r="D79" s="147"/>
      <c r="E79" s="147">
        <v>3900000</v>
      </c>
      <c r="F79" s="147"/>
      <c r="G79" s="147"/>
      <c r="H79" s="147"/>
      <c r="I79" s="147"/>
      <c r="J79" s="147"/>
      <c r="K79" s="147"/>
      <c r="L79" s="147"/>
      <c r="M79" s="147"/>
      <c r="N79" s="147"/>
      <c r="O79" s="147"/>
      <c r="P79" s="147"/>
      <c r="Q79" s="147"/>
      <c r="R79" s="550">
        <f>SUM(E79:Q79)</f>
        <v>3900000</v>
      </c>
      <c r="S79" s="147">
        <f>R79</f>
        <v>3900000</v>
      </c>
      <c r="T79" s="147"/>
      <c r="U79" s="143"/>
    </row>
    <row r="80" spans="1:21" s="144" customFormat="1">
      <c r="A80" s="304" t="s">
        <v>58</v>
      </c>
      <c r="B80" s="146">
        <f>SUM(C80:D80)</f>
        <v>1000000</v>
      </c>
      <c r="C80" s="147">
        <v>1000000</v>
      </c>
      <c r="D80" s="147"/>
      <c r="E80" s="147">
        <v>1000000</v>
      </c>
      <c r="F80" s="147"/>
      <c r="G80" s="147"/>
      <c r="H80" s="147"/>
      <c r="I80" s="147"/>
      <c r="J80" s="147"/>
      <c r="K80" s="147"/>
      <c r="L80" s="147"/>
      <c r="M80" s="147"/>
      <c r="N80" s="147"/>
      <c r="O80" s="147"/>
      <c r="P80" s="147"/>
      <c r="Q80" s="147"/>
      <c r="R80" s="550">
        <f>SUM(E80:Q80)</f>
        <v>1000000</v>
      </c>
      <c r="S80" s="147">
        <f>R80</f>
        <v>1000000</v>
      </c>
      <c r="T80" s="147"/>
      <c r="U80" s="143"/>
    </row>
    <row r="81" spans="1:21" s="144" customFormat="1">
      <c r="A81" s="149" t="s">
        <v>1312</v>
      </c>
      <c r="B81" s="146">
        <f>SUM(C81:D81)</f>
        <v>4900000</v>
      </c>
      <c r="C81" s="543">
        <f>SUM(C79:C80)</f>
        <v>4900000</v>
      </c>
      <c r="D81" s="543">
        <f t="shared" ref="D81:T81" si="19">SUM(D79:D80)</f>
        <v>0</v>
      </c>
      <c r="E81" s="543">
        <f t="shared" si="19"/>
        <v>4900000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4900000</v>
      </c>
      <c r="S81" s="543">
        <f t="shared" si="19"/>
        <v>4900000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121733</v>
      </c>
      <c r="C83" s="147">
        <v>121733</v>
      </c>
      <c r="D83" s="147"/>
      <c r="E83" s="147">
        <v>121733</v>
      </c>
      <c r="F83" s="147"/>
      <c r="G83" s="147"/>
      <c r="H83" s="147"/>
      <c r="I83" s="147"/>
      <c r="J83" s="147"/>
      <c r="K83" s="147"/>
      <c r="L83" s="147"/>
      <c r="M83" s="147"/>
      <c r="N83" s="147"/>
      <c r="O83" s="147"/>
      <c r="P83" s="147"/>
      <c r="Q83" s="147"/>
      <c r="R83" s="550">
        <f t="shared" ref="R83:R95" si="21">SUM(E83:Q83)</f>
        <v>121733</v>
      </c>
      <c r="S83" s="148"/>
      <c r="T83" s="148"/>
      <c r="U83" s="143"/>
    </row>
    <row r="84" spans="1:21" s="144" customFormat="1">
      <c r="A84" s="145" t="s">
        <v>774</v>
      </c>
      <c r="B84" s="146">
        <f t="shared" si="20"/>
        <v>15000</v>
      </c>
      <c r="C84" s="147">
        <v>15000</v>
      </c>
      <c r="D84" s="147"/>
      <c r="E84" s="147">
        <v>15000</v>
      </c>
      <c r="F84" s="147"/>
      <c r="G84" s="147"/>
      <c r="H84" s="147"/>
      <c r="I84" s="147"/>
      <c r="J84" s="147"/>
      <c r="K84" s="147"/>
      <c r="L84" s="147"/>
      <c r="M84" s="147"/>
      <c r="N84" s="147"/>
      <c r="O84" s="147"/>
      <c r="P84" s="147"/>
      <c r="Q84" s="147"/>
      <c r="R84" s="550">
        <f t="shared" si="21"/>
        <v>15000</v>
      </c>
      <c r="S84" s="147">
        <f>R84</f>
        <v>15000</v>
      </c>
      <c r="T84" s="147"/>
      <c r="U84" s="143"/>
    </row>
    <row r="85" spans="1:21" s="144" customFormat="1">
      <c r="A85" s="145" t="s">
        <v>775</v>
      </c>
      <c r="B85" s="146">
        <f t="shared" si="20"/>
        <v>5408397</v>
      </c>
      <c r="C85" s="147">
        <v>5408397</v>
      </c>
      <c r="D85" s="147"/>
      <c r="E85" s="147">
        <v>5408397</v>
      </c>
      <c r="F85" s="147"/>
      <c r="G85" s="147"/>
      <c r="H85" s="147"/>
      <c r="I85" s="147"/>
      <c r="J85" s="147"/>
      <c r="K85" s="147"/>
      <c r="L85" s="147"/>
      <c r="M85" s="147"/>
      <c r="N85" s="147"/>
      <c r="O85" s="147"/>
      <c r="P85" s="147"/>
      <c r="Q85" s="147"/>
      <c r="R85" s="550">
        <f t="shared" si="21"/>
        <v>5408397</v>
      </c>
      <c r="S85" s="147">
        <f>R85</f>
        <v>5408397</v>
      </c>
      <c r="T85" s="147"/>
      <c r="U85" s="143"/>
    </row>
    <row r="86" spans="1:21" s="144" customFormat="1">
      <c r="A86" s="145" t="s">
        <v>776</v>
      </c>
      <c r="B86" s="146">
        <f t="shared" si="20"/>
        <v>1400000</v>
      </c>
      <c r="C86" s="147">
        <v>1400000</v>
      </c>
      <c r="D86" s="147"/>
      <c r="E86" s="147">
        <v>1400000</v>
      </c>
      <c r="F86" s="147"/>
      <c r="G86" s="147"/>
      <c r="H86" s="147"/>
      <c r="I86" s="147"/>
      <c r="J86" s="147"/>
      <c r="K86" s="147"/>
      <c r="L86" s="147"/>
      <c r="M86" s="147"/>
      <c r="N86" s="147"/>
      <c r="O86" s="147"/>
      <c r="P86" s="147"/>
      <c r="Q86" s="147"/>
      <c r="R86" s="550">
        <f t="shared" si="21"/>
        <v>1400000</v>
      </c>
      <c r="S86" s="147">
        <f>R86</f>
        <v>1400000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123071</v>
      </c>
      <c r="C88" s="147">
        <v>123071</v>
      </c>
      <c r="D88" s="147"/>
      <c r="E88" s="147">
        <v>123071</v>
      </c>
      <c r="F88" s="147"/>
      <c r="G88" s="147"/>
      <c r="H88" s="147"/>
      <c r="I88" s="147"/>
      <c r="J88" s="147"/>
      <c r="K88" s="147"/>
      <c r="L88" s="147"/>
      <c r="M88" s="147"/>
      <c r="N88" s="147"/>
      <c r="O88" s="147"/>
      <c r="P88" s="147"/>
      <c r="Q88" s="147"/>
      <c r="R88" s="550">
        <f t="shared" si="21"/>
        <v>123071</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7148201</v>
      </c>
      <c r="C96" s="146">
        <f t="shared" ref="C96:R96" si="22">SUM(C83:C95)</f>
        <v>7148201</v>
      </c>
      <c r="D96" s="146">
        <f t="shared" si="22"/>
        <v>0</v>
      </c>
      <c r="E96" s="146">
        <f t="shared" si="22"/>
        <v>7148201</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7148201</v>
      </c>
      <c r="S96" s="150">
        <f>SUM(S84:S87,S89:S95)</f>
        <v>6903397</v>
      </c>
      <c r="T96" s="146">
        <f>SUM(T84:T87,T89:T95)</f>
        <v>0</v>
      </c>
      <c r="U96" s="143"/>
    </row>
    <row r="97" spans="1:21" s="144" customFormat="1">
      <c r="A97" s="149" t="s">
        <v>782</v>
      </c>
      <c r="B97" s="146">
        <f>SUM(C97:D97)</f>
        <v>107905144</v>
      </c>
      <c r="C97" s="146">
        <f t="shared" ref="C97:R97" si="23">SUM(C63+C70+C77+C81+C96)</f>
        <v>107905144</v>
      </c>
      <c r="D97" s="146">
        <f t="shared" si="23"/>
        <v>0</v>
      </c>
      <c r="E97" s="146">
        <f t="shared" si="23"/>
        <v>47055144</v>
      </c>
      <c r="F97" s="146">
        <f t="shared" si="23"/>
        <v>17600000</v>
      </c>
      <c r="G97" s="146">
        <f t="shared" si="23"/>
        <v>27813000</v>
      </c>
      <c r="H97" s="146">
        <f t="shared" si="23"/>
        <v>5000000</v>
      </c>
      <c r="I97" s="146">
        <f t="shared" si="23"/>
        <v>2187000</v>
      </c>
      <c r="J97" s="146">
        <f t="shared" si="23"/>
        <v>0</v>
      </c>
      <c r="K97" s="146">
        <f t="shared" si="23"/>
        <v>8250000</v>
      </c>
      <c r="L97" s="146">
        <f t="shared" si="23"/>
        <v>0</v>
      </c>
      <c r="M97" s="146">
        <f t="shared" si="23"/>
        <v>0</v>
      </c>
      <c r="N97" s="146">
        <f t="shared" si="23"/>
        <v>0</v>
      </c>
      <c r="O97" s="146">
        <f t="shared" si="23"/>
        <v>0</v>
      </c>
      <c r="P97" s="146">
        <f t="shared" si="23"/>
        <v>0</v>
      </c>
      <c r="Q97" s="146">
        <f t="shared" si="23"/>
        <v>0</v>
      </c>
      <c r="R97" s="146">
        <f t="shared" si="23"/>
        <v>107905144</v>
      </c>
      <c r="S97" s="146">
        <f>SUM(S63+S70+S81+S96)</f>
        <v>98065122</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14709768</v>
      </c>
      <c r="C99" s="1014">
        <v>14709768</v>
      </c>
      <c r="D99" s="1014"/>
      <c r="E99" s="1014">
        <v>2200000</v>
      </c>
      <c r="F99" s="147"/>
      <c r="G99" s="147"/>
      <c r="H99" s="147"/>
      <c r="I99" s="147"/>
      <c r="J99" s="147">
        <v>12509768</v>
      </c>
      <c r="K99" s="147"/>
      <c r="L99" s="147"/>
      <c r="M99" s="147"/>
      <c r="N99" s="147"/>
      <c r="O99" s="147"/>
      <c r="P99" s="147"/>
      <c r="Q99" s="147"/>
      <c r="R99" s="550">
        <f>SUM(E99:Q99)</f>
        <v>14709768</v>
      </c>
      <c r="S99" s="147">
        <f>R99</f>
        <v>14709768</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14709768</v>
      </c>
      <c r="C104" s="146">
        <f>SUM(C99:C103)</f>
        <v>14709768</v>
      </c>
      <c r="D104" s="146">
        <f t="shared" ref="D104:T104" si="24">SUM(D99:D103)</f>
        <v>0</v>
      </c>
      <c r="E104" s="146">
        <f t="shared" si="24"/>
        <v>2200000</v>
      </c>
      <c r="F104" s="146">
        <f t="shared" si="24"/>
        <v>0</v>
      </c>
      <c r="G104" s="146">
        <f t="shared" si="24"/>
        <v>0</v>
      </c>
      <c r="H104" s="146">
        <f t="shared" si="24"/>
        <v>0</v>
      </c>
      <c r="I104" s="146">
        <f t="shared" si="24"/>
        <v>0</v>
      </c>
      <c r="J104" s="146">
        <f t="shared" si="24"/>
        <v>12509768</v>
      </c>
      <c r="K104" s="146">
        <f t="shared" si="24"/>
        <v>0</v>
      </c>
      <c r="L104" s="146">
        <f t="shared" si="24"/>
        <v>0</v>
      </c>
      <c r="M104" s="146">
        <f t="shared" si="24"/>
        <v>0</v>
      </c>
      <c r="N104" s="146">
        <f t="shared" si="24"/>
        <v>0</v>
      </c>
      <c r="O104" s="146">
        <f t="shared" si="24"/>
        <v>0</v>
      </c>
      <c r="P104" s="146">
        <f t="shared" si="24"/>
        <v>0</v>
      </c>
      <c r="Q104" s="146">
        <f t="shared" si="24"/>
        <v>0</v>
      </c>
      <c r="R104" s="370">
        <f t="shared" si="24"/>
        <v>14709768</v>
      </c>
      <c r="S104" s="150">
        <f t="shared" si="24"/>
        <v>14709768</v>
      </c>
      <c r="T104" s="150">
        <f t="shared" si="24"/>
        <v>0</v>
      </c>
      <c r="U104" s="143"/>
    </row>
    <row r="105" spans="1:21" s="144" customFormat="1">
      <c r="A105" s="149" t="s">
        <v>787</v>
      </c>
      <c r="B105" s="150">
        <f>SUM(C105:D105)</f>
        <v>122614912</v>
      </c>
      <c r="C105" s="150">
        <f t="shared" ref="C105:R105" si="25">SUM(C97+C104)</f>
        <v>122614912</v>
      </c>
      <c r="D105" s="150">
        <f t="shared" si="25"/>
        <v>0</v>
      </c>
      <c r="E105" s="150">
        <f t="shared" si="25"/>
        <v>49255144</v>
      </c>
      <c r="F105" s="150">
        <f t="shared" si="25"/>
        <v>17600000</v>
      </c>
      <c r="G105" s="150">
        <f t="shared" si="25"/>
        <v>27813000</v>
      </c>
      <c r="H105" s="150">
        <f t="shared" si="25"/>
        <v>5000000</v>
      </c>
      <c r="I105" s="150">
        <f t="shared" si="25"/>
        <v>2187000</v>
      </c>
      <c r="J105" s="150">
        <f t="shared" si="25"/>
        <v>12509768</v>
      </c>
      <c r="K105" s="150">
        <f t="shared" si="25"/>
        <v>8250000</v>
      </c>
      <c r="L105" s="150">
        <f t="shared" si="25"/>
        <v>0</v>
      </c>
      <c r="M105" s="150">
        <f t="shared" si="25"/>
        <v>0</v>
      </c>
      <c r="N105" s="150">
        <f t="shared" si="25"/>
        <v>0</v>
      </c>
      <c r="O105" s="150">
        <f t="shared" si="25"/>
        <v>0</v>
      </c>
      <c r="P105" s="150">
        <f t="shared" si="25"/>
        <v>0</v>
      </c>
      <c r="Q105" s="150">
        <f t="shared" si="25"/>
        <v>0</v>
      </c>
      <c r="R105" s="370">
        <f t="shared" si="25"/>
        <v>122614912</v>
      </c>
      <c r="S105" s="150">
        <f>S97+S104</f>
        <v>112774890</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112774890</v>
      </c>
      <c r="T107" s="150">
        <f>T105+T106</f>
        <v>0</v>
      </c>
    </row>
    <row r="108" spans="1:21" s="201" customFormat="1">
      <c r="A108" s="162" t="s">
        <v>889</v>
      </c>
      <c r="B108" s="157"/>
      <c r="C108" s="157"/>
      <c r="D108" s="157"/>
      <c r="E108" s="323">
        <f>Application!AO640</f>
        <v>49255144</v>
      </c>
      <c r="F108" s="323">
        <f>Application!AO627</f>
        <v>17600000</v>
      </c>
      <c r="G108" s="323">
        <f>Application!AO628</f>
        <v>27813000</v>
      </c>
      <c r="H108" s="323">
        <f>Application!AO629</f>
        <v>5000000</v>
      </c>
      <c r="I108" s="323">
        <f>Application!AO630</f>
        <v>2187000</v>
      </c>
      <c r="J108" s="323">
        <f>Application!AO631</f>
        <v>12509768</v>
      </c>
      <c r="K108" s="323">
        <f>Application!AO632</f>
        <v>8250000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4"/>
      <c r="F123" s="1564"/>
      <c r="G123" s="1564"/>
      <c r="H123" s="1564"/>
      <c r="I123" s="1564"/>
      <c r="J123" s="1564"/>
      <c r="K123" s="1564"/>
      <c r="L123" s="1564"/>
      <c r="M123" s="1564"/>
      <c r="N123" s="1564"/>
      <c r="O123" s="1564"/>
      <c r="P123" s="1564"/>
      <c r="Q123" s="1564"/>
      <c r="R123" s="1564"/>
      <c r="S123" s="1564"/>
      <c r="T123" s="352"/>
      <c r="U123" s="354"/>
    </row>
    <row r="124" spans="1:21" ht="12.45">
      <c r="A124" s="117" t="s">
        <v>1013</v>
      </c>
      <c r="B124" s="361"/>
      <c r="C124" s="117"/>
      <c r="D124" s="1564"/>
      <c r="E124" s="1564"/>
      <c r="F124" s="1564"/>
      <c r="G124" s="1564"/>
      <c r="H124" s="1564"/>
      <c r="I124" s="1564"/>
      <c r="J124" s="1564"/>
      <c r="K124" s="1564"/>
      <c r="L124" s="1564"/>
      <c r="M124" s="1564"/>
      <c r="N124" s="1564"/>
      <c r="O124" s="1564"/>
      <c r="P124" s="1564"/>
      <c r="Q124" s="1564"/>
      <c r="R124" s="1564"/>
      <c r="S124" s="1564"/>
      <c r="T124" s="352"/>
      <c r="U124" s="354"/>
    </row>
    <row r="125" spans="1:21" ht="12.45">
      <c r="A125" s="117" t="s">
        <v>1014</v>
      </c>
      <c r="B125" s="361"/>
      <c r="C125" s="117"/>
      <c r="D125" s="1564"/>
      <c r="E125" s="1564"/>
      <c r="F125" s="1564"/>
      <c r="G125" s="1564"/>
      <c r="H125" s="1564"/>
      <c r="I125" s="1564"/>
      <c r="J125" s="1564"/>
      <c r="K125" s="1564"/>
      <c r="L125" s="1564"/>
      <c r="M125" s="1564"/>
      <c r="N125" s="1564"/>
      <c r="O125" s="1564"/>
      <c r="P125" s="1564"/>
      <c r="Q125" s="1564"/>
      <c r="R125" s="1564"/>
      <c r="S125" s="1564"/>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8250000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8250000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239602</v>
      </c>
      <c r="C10" s="393"/>
      <c r="D10" s="393"/>
      <c r="E10" s="392">
        <f>'Sources and Uses Budget'!S10</f>
        <v>239602</v>
      </c>
      <c r="F10" s="393"/>
      <c r="G10" s="393"/>
      <c r="H10" s="392">
        <f>'Sources and Uses Budget'!T10</f>
        <v>0</v>
      </c>
      <c r="I10" s="393"/>
      <c r="J10" s="393"/>
      <c r="K10" s="390"/>
    </row>
    <row r="11" spans="1:11" s="391" customFormat="1">
      <c r="A11" s="396" t="s">
        <v>603</v>
      </c>
      <c r="B11" s="392">
        <f>'Sources and Uses Budget'!C11</f>
        <v>239602</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8489602</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3450000</v>
      </c>
      <c r="C29" s="393"/>
      <c r="D29" s="393"/>
      <c r="E29" s="392">
        <f>'Sources and Uses Budget'!S29</f>
        <v>3450000</v>
      </c>
      <c r="F29" s="393"/>
      <c r="G29" s="393"/>
      <c r="H29" s="392">
        <f>'Sources and Uses Budget'!T29</f>
        <v>0</v>
      </c>
      <c r="I29" s="393"/>
      <c r="J29" s="393"/>
      <c r="K29" s="390"/>
    </row>
    <row r="30" spans="1:11" s="391" customFormat="1">
      <c r="A30" s="145" t="s">
        <v>606</v>
      </c>
      <c r="B30" s="392">
        <f>'Sources and Uses Budget'!C30</f>
        <v>64198403</v>
      </c>
      <c r="C30" s="393"/>
      <c r="D30" s="393"/>
      <c r="E30" s="392">
        <f>'Sources and Uses Budget'!S30</f>
        <v>64198403</v>
      </c>
      <c r="F30" s="393"/>
      <c r="G30" s="393"/>
      <c r="H30" s="392">
        <f>'Sources and Uses Budget'!T30</f>
        <v>0</v>
      </c>
      <c r="I30" s="393"/>
      <c r="J30" s="393"/>
      <c r="K30" s="390"/>
    </row>
    <row r="31" spans="1:11" s="391" customFormat="1">
      <c r="A31" s="145" t="s">
        <v>607</v>
      </c>
      <c r="B31" s="392">
        <f>'Sources and Uses Budget'!C31</f>
        <v>4073280</v>
      </c>
      <c r="C31" s="393"/>
      <c r="D31" s="393"/>
      <c r="E31" s="392">
        <f>'Sources and Uses Budget'!S31</f>
        <v>4073280</v>
      </c>
      <c r="F31" s="393"/>
      <c r="G31" s="393"/>
      <c r="H31" s="392">
        <f>'Sources and Uses Budget'!T31</f>
        <v>0</v>
      </c>
      <c r="I31" s="393"/>
      <c r="J31" s="393"/>
      <c r="K31" s="390"/>
    </row>
    <row r="32" spans="1:11" s="391" customFormat="1">
      <c r="A32" s="145" t="s">
        <v>137</v>
      </c>
      <c r="B32" s="392">
        <f>'Sources and Uses Budget'!C32</f>
        <v>1357760</v>
      </c>
      <c r="C32" s="393"/>
      <c r="D32" s="393"/>
      <c r="E32" s="392">
        <f>'Sources and Uses Budget'!S32</f>
        <v>1357760</v>
      </c>
      <c r="F32" s="393"/>
      <c r="G32" s="393"/>
      <c r="H32" s="392">
        <f>'Sources and Uses Budget'!T32</f>
        <v>0</v>
      </c>
      <c r="I32" s="393"/>
      <c r="J32" s="393"/>
      <c r="K32" s="390"/>
    </row>
    <row r="33" spans="1:11" s="391" customFormat="1">
      <c r="A33" s="145" t="s">
        <v>138</v>
      </c>
      <c r="B33" s="392">
        <f>'Sources and Uses Budget'!C33</f>
        <v>4073280</v>
      </c>
      <c r="C33" s="393"/>
      <c r="D33" s="393"/>
      <c r="E33" s="392">
        <f>'Sources and Uses Budget'!S33</f>
        <v>4073280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725000</v>
      </c>
      <c r="C35" s="393"/>
      <c r="D35" s="393"/>
      <c r="E35" s="392">
        <f>'Sources and Uses Budget'!S35</f>
        <v>725000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77877723</v>
      </c>
      <c r="C38" s="392">
        <f>SUM(C29:C37)</f>
        <v>0</v>
      </c>
      <c r="D38" s="392">
        <f>SUM(D29:D37)</f>
        <v>0</v>
      </c>
      <c r="E38" s="392">
        <f>'Sources and Uses Budget'!S38</f>
        <v>77877723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750000</v>
      </c>
      <c r="C40" s="393"/>
      <c r="D40" s="393"/>
      <c r="E40" s="392">
        <f>'Sources and Uses Budget'!S40</f>
        <v>750000</v>
      </c>
      <c r="F40" s="393"/>
      <c r="G40" s="393"/>
      <c r="H40" s="392">
        <f>'Sources and Uses Budget'!T40</f>
        <v>0</v>
      </c>
      <c r="I40" s="393"/>
      <c r="J40" s="393"/>
      <c r="K40" s="390"/>
    </row>
    <row r="41" spans="1:11" s="391" customFormat="1">
      <c r="A41" s="395" t="s">
        <v>146</v>
      </c>
      <c r="B41" s="392">
        <f>'Sources and Uses Budget'!C41</f>
        <v>150000</v>
      </c>
      <c r="C41" s="393"/>
      <c r="D41" s="393"/>
      <c r="E41" s="392">
        <f>'Sources and Uses Budget'!S41</f>
        <v>150000</v>
      </c>
      <c r="F41" s="393"/>
      <c r="G41" s="393"/>
      <c r="H41" s="392">
        <f>'Sources and Uses Budget'!T41</f>
        <v>0</v>
      </c>
      <c r="I41" s="393"/>
      <c r="J41" s="393"/>
      <c r="K41" s="390"/>
    </row>
    <row r="42" spans="1:11" s="391" customFormat="1">
      <c r="A42" s="396" t="s">
        <v>147</v>
      </c>
      <c r="B42" s="392">
        <f>'Sources and Uses Budget'!C42</f>
        <v>900000</v>
      </c>
      <c r="C42" s="392">
        <f>SUM(C39:C41)</f>
        <v>0</v>
      </c>
      <c r="D42" s="392">
        <f>SUM(D39:D41)</f>
        <v>0</v>
      </c>
      <c r="E42" s="392">
        <f>'Sources and Uses Budget'!S42</f>
        <v>900000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285000</v>
      </c>
      <c r="C43" s="393"/>
      <c r="D43" s="393"/>
      <c r="E43" s="392">
        <f>'Sources and Uses Budget'!S43</f>
        <v>285000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5560000</v>
      </c>
      <c r="C45" s="393"/>
      <c r="D45" s="393"/>
      <c r="E45" s="392">
        <f>'Sources and Uses Budget'!S45</f>
        <v>5560000</v>
      </c>
      <c r="F45" s="393"/>
      <c r="G45" s="393"/>
      <c r="H45" s="392">
        <f>'Sources and Uses Budget'!T45</f>
        <v>0</v>
      </c>
      <c r="I45" s="393"/>
      <c r="J45" s="393"/>
      <c r="K45" s="390"/>
    </row>
    <row r="46" spans="1:11" s="391" customFormat="1">
      <c r="A46" s="395" t="s">
        <v>151</v>
      </c>
      <c r="B46" s="392">
        <f>'Sources and Uses Budget'!C46</f>
        <v>495000</v>
      </c>
      <c r="C46" s="393"/>
      <c r="D46" s="393"/>
      <c r="E46" s="392">
        <f>'Sources and Uses Budget'!S46</f>
        <v>495000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150000</v>
      </c>
      <c r="C49" s="393"/>
      <c r="D49" s="393"/>
      <c r="E49" s="392">
        <f>'Sources and Uses Budget'!S49</f>
        <v>150000</v>
      </c>
      <c r="F49" s="393"/>
      <c r="G49" s="393"/>
      <c r="H49" s="392">
        <f>'Sources and Uses Budget'!T49</f>
        <v>0</v>
      </c>
      <c r="I49" s="393"/>
      <c r="J49" s="393"/>
      <c r="K49" s="390"/>
    </row>
    <row r="50" spans="1:11" s="391" customFormat="1">
      <c r="A50" s="395" t="s">
        <v>156</v>
      </c>
      <c r="B50" s="392">
        <f>'Sources and Uses Budget'!C50</f>
        <v>50000</v>
      </c>
      <c r="C50" s="393"/>
      <c r="D50" s="393"/>
      <c r="E50" s="392">
        <f>'Sources and Uses Budget'!S50</f>
        <v>50000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20000</v>
      </c>
      <c r="F51" s="393"/>
      <c r="G51" s="393"/>
      <c r="H51" s="392">
        <f>'Sources and Uses Budget'!T51</f>
        <v>0</v>
      </c>
      <c r="I51" s="393"/>
      <c r="J51" s="393"/>
      <c r="K51" s="390"/>
    </row>
    <row r="52" spans="1:11" s="391" customFormat="1">
      <c r="A52" s="395" t="s">
        <v>155</v>
      </c>
      <c r="B52" s="392">
        <f>'Sources and Uses Budget'!C52</f>
        <v>494400</v>
      </c>
      <c r="C52" s="393"/>
      <c r="D52" s="393"/>
      <c r="E52" s="392">
        <f>'Sources and Uses Budget'!S52</f>
        <v>494400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6889400</v>
      </c>
      <c r="C54" s="398">
        <f>SUM(C45:C53)</f>
        <v>0</v>
      </c>
      <c r="D54" s="398">
        <f>SUM(D45:D53)</f>
        <v>0</v>
      </c>
      <c r="E54" s="392">
        <f>'Sources and Uses Budget'!S54</f>
        <v>6889400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88000</v>
      </c>
      <c r="C56" s="393"/>
      <c r="D56" s="393"/>
      <c r="E56" s="394"/>
      <c r="F56" s="394"/>
      <c r="G56" s="394"/>
      <c r="H56" s="394"/>
      <c r="I56" s="394"/>
      <c r="J56" s="394"/>
      <c r="K56" s="390"/>
    </row>
    <row r="57" spans="1:11" s="391" customFormat="1" ht="12.05" customHeight="1">
      <c r="A57" s="395" t="s">
        <v>152</v>
      </c>
      <c r="B57" s="392">
        <f>'Sources and Uses Budget'!C57</f>
        <v>15000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113000</v>
      </c>
      <c r="C62" s="392">
        <f>SUM(C56:C61)</f>
        <v>0</v>
      </c>
      <c r="D62" s="392">
        <f>SUM(D56:D61)</f>
        <v>0</v>
      </c>
      <c r="E62" s="394"/>
      <c r="F62" s="394"/>
      <c r="G62" s="394"/>
      <c r="H62" s="394"/>
      <c r="I62" s="394"/>
      <c r="J62" s="394"/>
      <c r="K62" s="390"/>
    </row>
    <row r="63" spans="1:11" s="391" customFormat="1">
      <c r="A63" s="401" t="s">
        <v>302</v>
      </c>
      <c r="B63" s="392">
        <f>'Sources and Uses Budget'!C63</f>
        <v>94554725</v>
      </c>
      <c r="C63" s="392">
        <f>SUM(C8+C11+C13+C14+C15+C26+C27+C38+C42+C43+C54+C62)</f>
        <v>0</v>
      </c>
      <c r="D63" s="392">
        <f>SUM(D8+D11+D13+D14+D15+D26+D27+D38+D42+D43+D54+D62)</f>
        <v>0</v>
      </c>
      <c r="E63" s="392">
        <f>'Sources and Uses Budget'!S63</f>
        <v>86191725</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70000</v>
      </c>
      <c r="C65" s="393"/>
      <c r="D65" s="393"/>
      <c r="E65" s="392">
        <f>'Sources and Uses Budget'!S65</f>
        <v>70000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90000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160000</v>
      </c>
      <c r="C70" s="392">
        <f>SUM(C64:C69)</f>
        <v>0</v>
      </c>
      <c r="D70" s="392">
        <f>SUM(D64:D69)</f>
        <v>0</v>
      </c>
      <c r="E70" s="392">
        <f>'Sources and Uses Budget'!S70</f>
        <v>70000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642218</v>
      </c>
      <c r="C75" s="393"/>
      <c r="D75" s="393"/>
      <c r="E75" s="394"/>
      <c r="F75" s="394"/>
      <c r="G75" s="394"/>
      <c r="H75" s="394"/>
      <c r="I75" s="394"/>
      <c r="J75" s="394"/>
      <c r="K75" s="390"/>
    </row>
    <row r="76" spans="1:11" s="391" customFormat="1">
      <c r="A76" s="395" t="str">
        <f>'Sources and Uses Budget'!$A76</f>
        <v>Post Construction Interest Reserve</v>
      </c>
      <c r="B76" s="392">
        <f>'Sources and Uses Budget'!C76</f>
        <v>500000</v>
      </c>
      <c r="C76" s="393"/>
      <c r="D76" s="393"/>
      <c r="E76" s="394"/>
      <c r="F76" s="394"/>
      <c r="G76" s="394"/>
      <c r="H76" s="394"/>
      <c r="I76" s="394"/>
      <c r="J76" s="394"/>
      <c r="K76" s="390"/>
    </row>
    <row r="77" spans="1:11" s="391" customFormat="1">
      <c r="A77" s="396" t="s">
        <v>613</v>
      </c>
      <c r="B77" s="392">
        <f>'Sources and Uses Budget'!C77</f>
        <v>1142218</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3900000</v>
      </c>
      <c r="C79" s="393"/>
      <c r="D79" s="393"/>
      <c r="E79" s="392">
        <f>'Sources and Uses Budget'!S79</f>
        <v>3900000</v>
      </c>
      <c r="F79" s="393"/>
      <c r="G79" s="393"/>
      <c r="H79" s="392">
        <f>'Sources and Uses Budget'!T79</f>
        <v>0</v>
      </c>
      <c r="I79" s="393"/>
      <c r="J79" s="393"/>
      <c r="K79" s="390"/>
    </row>
    <row r="80" spans="1:11" s="391" customFormat="1">
      <c r="A80" s="395" t="s">
        <v>58</v>
      </c>
      <c r="B80" s="392">
        <f>'Sources and Uses Budget'!C80</f>
        <v>1000000</v>
      </c>
      <c r="C80" s="393"/>
      <c r="D80" s="393"/>
      <c r="E80" s="392">
        <f>'Sources and Uses Budget'!S80</f>
        <v>1000000</v>
      </c>
      <c r="F80" s="393"/>
      <c r="G80" s="393"/>
      <c r="H80" s="392">
        <f>'Sources and Uses Budget'!T80</f>
        <v>0</v>
      </c>
      <c r="I80" s="393"/>
      <c r="J80" s="393"/>
      <c r="K80" s="390"/>
    </row>
    <row r="81" spans="1:11" s="391" customFormat="1">
      <c r="A81" s="396" t="s">
        <v>1312</v>
      </c>
      <c r="B81" s="392">
        <f>'Sources and Uses Budget'!C81</f>
        <v>4900000</v>
      </c>
      <c r="C81" s="392">
        <f>SUM(C79:C80)</f>
        <v>0</v>
      </c>
      <c r="D81" s="392">
        <f>SUM(D79:D80)</f>
        <v>0</v>
      </c>
      <c r="E81" s="392">
        <f>'Sources and Uses Budget'!S81</f>
        <v>4900000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121733</v>
      </c>
      <c r="C83" s="393"/>
      <c r="D83" s="393"/>
      <c r="E83" s="394"/>
      <c r="F83" s="394"/>
      <c r="G83" s="394"/>
      <c r="H83" s="394"/>
      <c r="I83" s="394"/>
      <c r="J83" s="394"/>
      <c r="K83" s="390"/>
    </row>
    <row r="84" spans="1:11" s="391" customFormat="1">
      <c r="A84" s="145" t="s">
        <v>774</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775</v>
      </c>
      <c r="B85" s="392">
        <f>'Sources and Uses Budget'!C85</f>
        <v>5408397</v>
      </c>
      <c r="C85" s="393"/>
      <c r="D85" s="393"/>
      <c r="E85" s="392">
        <f>'Sources and Uses Budget'!S85</f>
        <v>5408397</v>
      </c>
      <c r="F85" s="393"/>
      <c r="G85" s="393"/>
      <c r="H85" s="392">
        <f>'Sources and Uses Budget'!T85</f>
        <v>0</v>
      </c>
      <c r="I85" s="393"/>
      <c r="J85" s="393"/>
      <c r="K85" s="390"/>
    </row>
    <row r="86" spans="1:11" s="391" customFormat="1">
      <c r="A86" s="145" t="s">
        <v>776</v>
      </c>
      <c r="B86" s="392">
        <f>'Sources and Uses Budget'!C86</f>
        <v>1400000</v>
      </c>
      <c r="C86" s="393"/>
      <c r="D86" s="393"/>
      <c r="E86" s="392">
        <f>'Sources and Uses Budget'!S86</f>
        <v>1400000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123071</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7148201</v>
      </c>
      <c r="C96" s="392">
        <f>SUM(C83:C95)</f>
        <v>0</v>
      </c>
      <c r="D96" s="392">
        <f>SUM(D83:D95)</f>
        <v>0</v>
      </c>
      <c r="E96" s="392">
        <f>'Sources and Uses Budget'!S96</f>
        <v>6903397</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107905144</v>
      </c>
      <c r="C97" s="392">
        <f>SUM(C63+C70+C77+C81+C96)</f>
        <v>0</v>
      </c>
      <c r="D97" s="392">
        <f>SUM(D63+D70+D77+D81+D96)</f>
        <v>0</v>
      </c>
      <c r="E97" s="392">
        <f>'Sources and Uses Budget'!S97</f>
        <v>98065122</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14709768</v>
      </c>
      <c r="C99" s="393"/>
      <c r="D99" s="393"/>
      <c r="E99" s="392">
        <f>'Sources and Uses Budget'!S99</f>
        <v>14709768</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14709768</v>
      </c>
      <c r="C104" s="392">
        <f>SUM(C99:C103)</f>
        <v>0</v>
      </c>
      <c r="D104" s="392">
        <f>SUM(D99:D103)</f>
        <v>0</v>
      </c>
      <c r="E104" s="392">
        <f>'Sources and Uses Budget'!S104</f>
        <v>14709768</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122614912</v>
      </c>
      <c r="C105" s="398">
        <f>SUM(C97+C104)</f>
        <v>0</v>
      </c>
      <c r="D105" s="398">
        <f>SUM(D97+D104)</f>
        <v>0</v>
      </c>
      <c r="E105" s="392">
        <f>'Sources and Uses Budget'!S105</f>
        <v>112774890</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112774890</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sqref="A1:AM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598</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10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552</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552</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598</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0.49932885906040264</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9.9999999999999978E-2</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19.999999999999996</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0.49932885906040264</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0.25503355704697989</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0.24161073825503357</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SRO/Studio</v>
      </c>
      <c r="AQ106" s="570">
        <f>Application!O718</f>
        <v>752</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1297</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1570</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1 Bedroom</v>
      </c>
      <c r="AQ109" s="570">
        <f>Application!O721</f>
        <v>798</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1 Bedroom</v>
      </c>
      <c r="AQ110" s="570">
        <f>Application!O722</f>
        <v>1382</v>
      </c>
      <c r="AU110" s="890" t="str">
        <f>E118</f>
        <v>Studio/SRO</v>
      </c>
      <c r="AV110" s="570">
        <f t="array" ref="AV110">SUM(IF(Application!B718:F752="SRO/Studio",Application!G718:J752))</f>
        <v>22</v>
      </c>
      <c r="AW110" s="1046">
        <f>AV110/AV116</f>
        <v>0.1476510067114094</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1 Bedroom</v>
      </c>
      <c r="AQ111" s="570">
        <f>Application!O723</f>
        <v>1674</v>
      </c>
      <c r="AU111" s="890" t="str">
        <f>J118</f>
        <v>1-bedroom</v>
      </c>
      <c r="AV111" s="570">
        <f t="array" ref="AV111">SUM(IF(Application!B718:F752="1 Bedroom",Application!G718:J752))</f>
        <v>10</v>
      </c>
      <c r="AW111" s="1046">
        <f>AV111/AV116</f>
        <v>6.7114093959731544E-2</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2 Bedrooms</v>
      </c>
      <c r="AQ112" s="570">
        <f>Application!O724</f>
        <v>940</v>
      </c>
      <c r="AU112" s="890" t="str">
        <f>O118</f>
        <v>2-bedroom</v>
      </c>
      <c r="AV112" s="570">
        <f t="array" ref="AV112">SUM(IF(Application!B718:F752="2 Bedrooms",Application!G718:J752))</f>
        <v>68</v>
      </c>
      <c r="AW112" s="1046">
        <f>AV112/AV116</f>
        <v>0.4563758389261745</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2 Bedrooms</v>
      </c>
      <c r="AQ113" s="570">
        <f>Application!O725</f>
        <v>1641</v>
      </c>
      <c r="AU113" s="890" t="str">
        <f>T118</f>
        <v>3-bedroom</v>
      </c>
      <c r="AV113" s="570">
        <f t="array" ref="AV113">SUM(IF(Application!B718:F752="3 Bedrooms",Application!G718:J752))</f>
        <v>49</v>
      </c>
      <c r="AW113" s="1046">
        <f>AV113/AV116</f>
        <v>0.32885906040268459</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t="str">
        <f>Application!B726</f>
        <v>2 Bedrooms</v>
      </c>
      <c r="AQ114" s="570">
        <f>Application!O726</f>
        <v>1992</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t="str">
        <f>Application!B727</f>
        <v>3 Bedrooms</v>
      </c>
      <c r="AQ115" s="570">
        <f>Application!O727</f>
        <v>1072</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t="str">
        <f>Application!B728</f>
        <v>3 Bedrooms</v>
      </c>
      <c r="AQ116" s="570">
        <f>Application!O728</f>
        <v>1882</v>
      </c>
      <c r="AV116" s="570">
        <f>SUM(AV110:AV115)</f>
        <v>149</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2287</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2095">
        <v>1754</v>
      </c>
      <c r="F121" s="2096"/>
      <c r="G121" s="2096"/>
      <c r="H121" s="2096"/>
      <c r="I121" s="898"/>
      <c r="J121" s="2096">
        <v>2167</v>
      </c>
      <c r="K121" s="2096"/>
      <c r="L121" s="2096"/>
      <c r="M121" s="2096"/>
      <c r="N121" s="898"/>
      <c r="O121" s="2096">
        <v>2318</v>
      </c>
      <c r="P121" s="2096"/>
      <c r="Q121" s="2096"/>
      <c r="R121" s="2096"/>
      <c r="S121" s="898"/>
      <c r="T121" s="2096">
        <v>3360</v>
      </c>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1272.4545454545455</v>
      </c>
      <c r="F124" s="2104"/>
      <c r="G124" s="2104"/>
      <c r="H124" s="2104"/>
      <c r="I124" s="898"/>
      <c r="J124" s="2104">
        <f>Application!EC670</f>
        <v>1323.6</v>
      </c>
      <c r="K124" s="2104"/>
      <c r="L124" s="2104"/>
      <c r="M124" s="2104"/>
      <c r="N124" s="898"/>
      <c r="O124" s="2104">
        <f>Application!EH670</f>
        <v>1692.8529411764707</v>
      </c>
      <c r="P124" s="2104"/>
      <c r="Q124" s="2104"/>
      <c r="R124" s="2104"/>
      <c r="S124" s="902"/>
      <c r="T124" s="2104">
        <f>Application!EM670</f>
        <v>1824.1428571428571</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f>(E121-E124)/E121</f>
        <v>0.27454130817870837</v>
      </c>
      <c r="F127" s="1896"/>
      <c r="G127" s="1896"/>
      <c r="H127" s="1897"/>
      <c r="I127" s="611"/>
      <c r="J127" s="1895">
        <f>(J121-J124)/J121</f>
        <v>0.38920166128287959</v>
      </c>
      <c r="K127" s="1896"/>
      <c r="L127" s="1896"/>
      <c r="M127" s="1897"/>
      <c r="N127" s="611"/>
      <c r="O127" s="1895">
        <f>(O121-O124)/O121</f>
        <v>0.2696924326244734</v>
      </c>
      <c r="P127" s="1896"/>
      <c r="Q127" s="1896"/>
      <c r="R127" s="1897"/>
      <c r="S127" s="611"/>
      <c r="T127" s="1895">
        <f>(T121-T124)/T121</f>
        <v>0.45710034013605444</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f>IF(((E127-0.1)*AW110)&gt;0,((E127-0.1)*AW110),0)</f>
        <v>2.5771199865312646E-2</v>
      </c>
      <c r="F130" s="2107"/>
      <c r="G130" s="2107"/>
      <c r="H130" s="2108"/>
      <c r="I130" s="611"/>
      <c r="J130" s="2106">
        <f>IF(((J127-0.1)*AW111)&gt;0,((J127-0.1)*AW111),0)</f>
        <v>1.9409507468649639E-2</v>
      </c>
      <c r="K130" s="2107"/>
      <c r="L130" s="2107"/>
      <c r="M130" s="2108"/>
      <c r="N130" s="611"/>
      <c r="O130" s="2106">
        <f>IF(((O127-0.1)*AW112)&gt;0,((O127-0.1)*AW112),0)</f>
        <v>7.7443526298417387E-2</v>
      </c>
      <c r="P130" s="2107"/>
      <c r="Q130" s="2107"/>
      <c r="R130" s="2108"/>
      <c r="S130" s="611"/>
      <c r="T130" s="2106">
        <f>IF(((T127-0.1)*AW113)&gt;0,((T127-0.1)*AW113),0)</f>
        <v>0.11743568232662192</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0.24</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2657</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ConAm Management Corporation</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1062</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2740</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27813000</v>
      </c>
      <c r="AE188" s="2065"/>
      <c r="AF188" s="2065"/>
      <c r="AG188" s="2065"/>
      <c r="AH188" s="2065"/>
      <c r="AI188" s="2065"/>
      <c r="AJ188" s="2065"/>
      <c r="AK188" s="644"/>
    </row>
    <row r="189" spans="1:45">
      <c r="A189" s="639"/>
      <c r="B189" s="2075" t="s">
        <v>2769</v>
      </c>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v>5000000</v>
      </c>
      <c r="AE189" s="2065"/>
      <c r="AF189" s="2065"/>
      <c r="AG189" s="2065"/>
      <c r="AH189" s="2065"/>
      <c r="AI189" s="2065"/>
      <c r="AJ189" s="2065"/>
      <c r="AK189" s="644"/>
    </row>
    <row r="190" spans="1:45">
      <c r="A190" s="639"/>
      <c r="B190" s="2075" t="s">
        <v>2770</v>
      </c>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v>2187000</v>
      </c>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35000000</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35000000</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122614912</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0.28000000000000003</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552</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10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7" t="s">
        <v>1488</v>
      </c>
      <c r="B281" s="1617"/>
      <c r="C281" s="2025" t="s">
        <v>598</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7" t="s">
        <v>1492</v>
      </c>
      <c r="B291" s="1617"/>
      <c r="C291" s="1931" t="s">
        <v>552</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7" t="s">
        <v>1495</v>
      </c>
      <c r="B299" s="1617"/>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7" t="s">
        <v>1498</v>
      </c>
      <c r="B322" s="1617"/>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9</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315</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552</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598</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102597168</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112774890</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235226054.31999999</v>
      </c>
      <c r="AG541" s="1914"/>
      <c r="AH541" s="1914"/>
      <c r="AI541" s="1914"/>
      <c r="AJ541" s="1914"/>
      <c r="AK541" s="629"/>
      <c r="AL541" s="629"/>
      <c r="AM541" s="629"/>
      <c r="AN541" s="631"/>
      <c r="AP541" s="1903">
        <f>Application!AJ1044</f>
        <v>24623320.32</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0.52</v>
      </c>
      <c r="AG542" s="1915"/>
      <c r="AH542" s="1915"/>
      <c r="AI542" s="1915"/>
      <c r="AJ542" s="1915"/>
      <c r="AK542" s="629"/>
      <c r="AL542" s="629"/>
      <c r="AM542" s="629"/>
      <c r="AN542" s="631"/>
      <c r="AP542" s="1904">
        <f>Application!AJ1048</f>
        <v>51298584</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0.73999999999999988</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159304150</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235226054.31999999</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235226054.31999999</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694</v>
      </c>
      <c r="I595" s="1933"/>
      <c r="J595" s="971"/>
      <c r="K595" s="971"/>
      <c r="L595" s="971"/>
      <c r="N595" s="22"/>
      <c r="O595" s="22"/>
      <c r="P595" s="22"/>
      <c r="Q595" s="1195" t="s">
        <v>2534</v>
      </c>
      <c r="R595" s="2029"/>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7</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516</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2</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694</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3</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694</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5</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149</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49</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49</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1</v>
      </c>
      <c r="AP684" s="1924"/>
      <c r="AW684" s="22" t="s">
        <v>2546</v>
      </c>
      <c r="AX684" s="584">
        <f>IFERROR(AX683/AX679,0)</f>
        <v>0.32885906040268459</v>
      </c>
      <c r="AY684" s="584">
        <f>IFERROR(AX683/(AX679-AX678),0)</f>
        <v>0.32885906040268459</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3</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278</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2</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694</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3</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694</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2</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598</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0</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10</v>
      </c>
      <c r="U803" s="1942"/>
      <c r="V803" s="1942"/>
      <c r="W803" s="1942"/>
      <c r="X803" s="1942"/>
      <c r="Y803" s="1942"/>
      <c r="Z803" s="1929">
        <v>10</v>
      </c>
      <c r="AA803" s="1929"/>
      <c r="AB803" s="1929"/>
      <c r="AC803" s="1929"/>
      <c r="AD803" s="1929"/>
      <c r="AE803" s="1929"/>
      <c r="AF803" s="1951">
        <f>IF(T803&gt;Z803,Z803,T803)</f>
        <v>10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9</v>
      </c>
      <c r="U804" s="1942"/>
      <c r="V804" s="1942"/>
      <c r="W804" s="1942"/>
      <c r="X804" s="1942"/>
      <c r="Y804" s="1942"/>
      <c r="Z804" s="1951">
        <v>10</v>
      </c>
      <c r="AA804" s="1952"/>
      <c r="AB804" s="1952"/>
      <c r="AC804" s="1952"/>
      <c r="AD804" s="1952"/>
      <c r="AE804" s="1953"/>
      <c r="AF804" s="1951">
        <f>IF(T804&gt;Z804,Z804,T804)</f>
        <v>9</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9</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119</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L112" sqref="L112"/>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48024622</v>
      </c>
      <c r="I3" s="1145"/>
    </row>
    <row r="4" spans="1:13" s="1086" customFormat="1" ht="20.100000000000001" customHeight="1">
      <c r="B4" s="1134"/>
      <c r="D4" s="1148"/>
      <c r="F4" s="1132" t="s">
        <v>2297</v>
      </c>
      <c r="G4" s="1131" t="s">
        <v>2296</v>
      </c>
      <c r="H4" s="1133">
        <f>I16</f>
        <v>47111274.509803921</v>
      </c>
      <c r="I4" s="1135"/>
      <c r="K4" s="1090"/>
    </row>
    <row r="5" spans="1:13" s="1086" customFormat="1" ht="20.100000000000001" customHeight="1" thickBot="1">
      <c r="B5" s="1136"/>
      <c r="C5" s="1137"/>
      <c r="D5" s="1149"/>
      <c r="E5" s="1138"/>
      <c r="F5" s="1149" t="s">
        <v>2237</v>
      </c>
      <c r="G5" s="1150"/>
      <c r="H5" s="1146">
        <f>H3/H4</f>
        <v>1.0193870257109263</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9352500</v>
      </c>
      <c r="G9" s="2141" t="s">
        <v>2272</v>
      </c>
      <c r="H9" s="2141"/>
      <c r="I9" s="1095">
        <f>Application!AM554</f>
        <v>66000000</v>
      </c>
      <c r="K9" s="1096"/>
      <c r="M9" s="1097"/>
    </row>
    <row r="10" spans="1:13" ht="15.05" customHeight="1" thickBot="1">
      <c r="A10" s="1081"/>
      <c r="B10" s="2138" t="s">
        <v>2275</v>
      </c>
      <c r="C10" s="2138"/>
      <c r="D10" s="2138"/>
      <c r="E10" s="1095">
        <f>G40</f>
        <v>25005672.000000004</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66000000</v>
      </c>
      <c r="M11" s="1097"/>
    </row>
    <row r="12" spans="1:13" ht="15.05" customHeight="1">
      <c r="A12" s="1084"/>
      <c r="B12" s="2138" t="s">
        <v>2277</v>
      </c>
      <c r="C12" s="2138"/>
      <c r="D12" s="2138"/>
      <c r="E12" s="1095">
        <f>G58</f>
        <v>760000</v>
      </c>
      <c r="G12" s="1183" t="s">
        <v>2312</v>
      </c>
      <c r="H12" s="1184"/>
      <c r="M12" s="1097"/>
    </row>
    <row r="13" spans="1:13" ht="15.05" customHeight="1">
      <c r="A13" s="1081"/>
      <c r="B13" s="2138" t="s">
        <v>2278</v>
      </c>
      <c r="C13" s="2138"/>
      <c r="D13" s="2138"/>
      <c r="E13" s="1100">
        <f>G83</f>
        <v>12906450</v>
      </c>
      <c r="G13" s="2142" t="s">
        <v>139</v>
      </c>
      <c r="H13" s="2142"/>
      <c r="I13" s="1099">
        <f>15%*(AND(G111="Yes",G113&lt;&gt;""))</f>
        <v>0.15</v>
      </c>
      <c r="M13" s="1097"/>
    </row>
    <row r="14" spans="1:13" ht="15.05" customHeight="1">
      <c r="A14" s="1081"/>
      <c r="B14" s="2138" t="s">
        <v>2279</v>
      </c>
      <c r="C14" s="2138"/>
      <c r="D14" s="2138"/>
      <c r="E14" s="1095">
        <f>IF(G96&gt;G106,G96,0)</f>
        <v>0</v>
      </c>
      <c r="G14" s="1179" t="s">
        <v>2288</v>
      </c>
      <c r="H14" s="1179"/>
      <c r="I14" s="1099">
        <f>IF(Application!AJ1031&gt;0,10%,IF(Application!AJ1035&gt;0,5%,0))</f>
        <v>0.05</v>
      </c>
      <c r="M14" s="1097"/>
    </row>
    <row r="15" spans="1:13" ht="15.05" customHeight="1" thickBot="1">
      <c r="A15" s="1081"/>
      <c r="B15" s="2139" t="s">
        <v>2298</v>
      </c>
      <c r="C15" s="2139"/>
      <c r="D15" s="2139"/>
      <c r="E15" s="1151">
        <f>IF(E14&gt;0,0,G106)</f>
        <v>0</v>
      </c>
      <c r="G15" s="2136" t="s">
        <v>2289</v>
      </c>
      <c r="H15" s="2137"/>
      <c r="I15" s="1153">
        <f>G123</f>
        <v>8.6192810457516339E-2</v>
      </c>
      <c r="M15" s="1097"/>
    </row>
    <row r="16" spans="1:13" ht="15.05" customHeight="1">
      <c r="A16" s="1081"/>
      <c r="B16" s="2140" t="s">
        <v>2234</v>
      </c>
      <c r="C16" s="2140"/>
      <c r="D16" s="2140"/>
      <c r="E16" s="1152">
        <f>SUM(E9:E15)</f>
        <v>48024622</v>
      </c>
      <c r="G16" s="1180" t="s">
        <v>2273</v>
      </c>
      <c r="H16" s="1180"/>
      <c r="I16" s="1154">
        <f>I11-((I11*I13)+(I11*I14)+(I11*I15))</f>
        <v>47111274.509803921</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149</v>
      </c>
      <c r="O18" s="1124" t="s">
        <v>589</v>
      </c>
      <c r="P18" s="1079">
        <f>MATCH(Application!T189,Application!BV490:BV547,0)</f>
        <v>7</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0</v>
      </c>
      <c r="M20" s="1101">
        <f>Application!G718</f>
        <v>6</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0</v>
      </c>
      <c r="M21" s="1101">
        <f>Application!G719</f>
        <v>6</v>
      </c>
      <c r="N21" s="1109">
        <f>Application!AC719</f>
        <v>0.5</v>
      </c>
      <c r="O21" s="1109">
        <f>IF(Cdlac[[#This Row],[Quantity]]&gt;0,IF(Cdlac[[#This Row],[Federal]],30%,IF($G$36,40%,Cdlac[[#This Row],[iAMI]])),"")</f>
        <v>0.5</v>
      </c>
      <c r="P21" s="1101" cm="1">
        <f t="array" ref="P21">IF(Cdlac[[#This Row],[Quantity]]&gt;0,INDEX(TcacRents,$P$18,Cdlac[[#This Row],[Bedrooms]]+1)*Cdlac[[#This Row],[AMI]],"")</f>
        <v>1362</v>
      </c>
      <c r="Q21" s="1101" cm="1">
        <f t="array" ref="Q21">IF(Cdlac[[#This Row],[Quantity]]&gt;0,INDEX(HudFmrs,$P$18,Cdlac[[#This Row],[Bedrooms]]+1),"")</f>
        <v>1825</v>
      </c>
      <c r="R21" s="1101">
        <f>IF(Cdlac[[#This Row],[Quantity]]&gt;0,MAX(0,Cdlac[[#This Row],[Fair Market Rent]]-Cdlac[[#This Row],[Restricted Rent]]),"")</f>
        <v>463</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22</v>
      </c>
      <c r="F22" s="1110">
        <f>E22</f>
        <v>22</v>
      </c>
      <c r="G22" s="1110">
        <f>D22*F22</f>
        <v>19.8</v>
      </c>
      <c r="L22" s="1079">
        <f>IFERROR(MIN(4,MATCH(Application!B720,UnitSizes,0)-1),"")</f>
        <v>0</v>
      </c>
      <c r="M22" s="1101">
        <f>Application!G720</f>
        <v>10</v>
      </c>
      <c r="N22" s="1109">
        <f>Application!AC720</f>
        <v>0.6</v>
      </c>
      <c r="O22" s="1109">
        <f>IF(Cdlac[[#This Row],[Quantity]]&gt;0,IF(Cdlac[[#This Row],[Federal]],30%,IF($G$36,40%,Cdlac[[#This Row],[iAMI]])),"")</f>
        <v>0.6</v>
      </c>
      <c r="P22" s="1101" cm="1">
        <f t="array" ref="P22">IF(Cdlac[[#This Row],[Quantity]]&gt;0,INDEX(TcacRents,$P$18,Cdlac[[#This Row],[Bedrooms]]+1)*Cdlac[[#This Row],[AMI]],"")</f>
        <v>1634.3999999999999</v>
      </c>
      <c r="Q22" s="1101" cm="1">
        <f t="array" ref="Q22">IF(Cdlac[[#This Row],[Quantity]]&gt;0,INDEX(HudFmrs,$P$18,Cdlac[[#This Row],[Bedrooms]]+1),"")</f>
        <v>1825</v>
      </c>
      <c r="R22" s="1101">
        <f>IF(Cdlac[[#This Row],[Quantity]]&gt;0,MAX(0,Cdlac[[#This Row],[Fair Market Rent]]-Cdlac[[#This Row],[Restricted Rent]]),"")</f>
        <v>190.60000000000014</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10</v>
      </c>
      <c r="F23" s="1110">
        <f>E23</f>
        <v>10</v>
      </c>
      <c r="G23" s="1110">
        <f>D23*F23</f>
        <v>10</v>
      </c>
      <c r="L23" s="1079">
        <f>IFERROR(MIN(4,MATCH(Application!B721,UnitSizes,0)-1),"")</f>
        <v>1</v>
      </c>
      <c r="M23" s="1101">
        <f>Application!G721</f>
        <v>3</v>
      </c>
      <c r="N23" s="1109">
        <f>Application!AC721</f>
        <v>0.3</v>
      </c>
      <c r="O23" s="1109">
        <f>IF(Cdlac[[#This Row],[Quantity]]&gt;0,IF(Cdlac[[#This Row],[Federal]],30%,IF($G$36,40%,Cdlac[[#This Row],[iAMI]])),"")</f>
        <v>0.3</v>
      </c>
      <c r="P23" s="1101" cm="1">
        <f t="array" ref="P23">IF(Cdlac[[#This Row],[Quantity]]&gt;0,INDEX(TcacRents,$P$18,Cdlac[[#This Row],[Bedrooms]]+1)*Cdlac[[#This Row],[AMI]],"")</f>
        <v>876</v>
      </c>
      <c r="Q23" s="1101" cm="1">
        <f t="array" ref="Q23">IF(Cdlac[[#This Row],[Quantity]]&gt;0,INDEX(HudFmrs,$P$18,Cdlac[[#This Row],[Bedrooms]]+1),"")</f>
        <v>2131</v>
      </c>
      <c r="R23" s="1101">
        <f>IF(Cdlac[[#This Row],[Quantity]]&gt;0,MAX(0,Cdlac[[#This Row],[Fair Market Rent]]-Cdlac[[#This Row],[Restricted Rent]]),"")</f>
        <v>1255</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68</v>
      </c>
      <c r="F24" s="1113">
        <f>SUM(E24:E26)-SUM(F25:F26)</f>
        <v>73</v>
      </c>
      <c r="G24" s="1110">
        <f>D24*F24</f>
        <v>91.25</v>
      </c>
      <c r="H24" s="1112"/>
      <c r="I24" s="1112"/>
      <c r="L24" s="1079">
        <f>IFERROR(MIN(4,MATCH(Application!B722,UnitSizes,0)-1),"")</f>
        <v>1</v>
      </c>
      <c r="M24" s="1101">
        <f>Application!G722</f>
        <v>3</v>
      </c>
      <c r="N24" s="1109">
        <f>Application!AC722</f>
        <v>0.5</v>
      </c>
      <c r="O24" s="1109">
        <f>IF(Cdlac[[#This Row],[Quantity]]&gt;0,IF(Cdlac[[#This Row],[Federal]],30%,IF($G$36,40%,Cdlac[[#This Row],[iAMI]])),"")</f>
        <v>0.5</v>
      </c>
      <c r="P24" s="1101" cm="1">
        <f t="array" ref="P24">IF(Cdlac[[#This Row],[Quantity]]&gt;0,INDEX(TcacRents,$P$18,Cdlac[[#This Row],[Bedrooms]]+1)*Cdlac[[#This Row],[AMI]],"")</f>
        <v>1460</v>
      </c>
      <c r="Q24" s="1101" cm="1">
        <f t="array" ref="Q24">IF(Cdlac[[#This Row],[Quantity]]&gt;0,INDEX(HudFmrs,$P$18,Cdlac[[#This Row],[Bedrooms]]+1),"")</f>
        <v>2131</v>
      </c>
      <c r="R24" s="1101">
        <f>IF(Cdlac[[#This Row],[Quantity]]&gt;0,MAX(0,Cdlac[[#This Row],[Fair Market Rent]]-Cdlac[[#This Row],[Restricted Rent]]),"")</f>
        <v>671</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49</v>
      </c>
      <c r="F25" s="1113">
        <f>MIN(E25,ROUNDDOWN(E27*30%,0))</f>
        <v>44</v>
      </c>
      <c r="G25" s="1110">
        <f>D25*F25</f>
        <v>66</v>
      </c>
      <c r="H25" s="1112"/>
      <c r="I25" s="1112"/>
      <c r="L25" s="1079">
        <f>IFERROR(MIN(4,MATCH(Application!B723,UnitSizes,0)-1),"")</f>
        <v>1</v>
      </c>
      <c r="M25" s="1101">
        <f>Application!G723</f>
        <v>4</v>
      </c>
      <c r="N25" s="1109">
        <f>Application!AC723</f>
        <v>0.6</v>
      </c>
      <c r="O25" s="1109">
        <f>IF(Cdlac[[#This Row],[Quantity]]&gt;0,IF(Cdlac[[#This Row],[Federal]],30%,IF($G$36,40%,Cdlac[[#This Row],[iAMI]])),"")</f>
        <v>0.6</v>
      </c>
      <c r="P25" s="1101" cm="1">
        <f t="array" ref="P25">IF(Cdlac[[#This Row],[Quantity]]&gt;0,INDEX(TcacRents,$P$18,Cdlac[[#This Row],[Bedrooms]]+1)*Cdlac[[#This Row],[AMI]],"")</f>
        <v>1752</v>
      </c>
      <c r="Q25" s="1101" cm="1">
        <f t="array" ref="Q25">IF(Cdlac[[#This Row],[Quantity]]&gt;0,INDEX(HudFmrs,$P$18,Cdlac[[#This Row],[Bedrooms]]+1),"")</f>
        <v>2131</v>
      </c>
      <c r="R25" s="1101">
        <f>IF(Cdlac[[#This Row],[Quantity]]&gt;0,MAX(0,Cdlac[[#This Row],[Fair Market Rent]]-Cdlac[[#This Row],[Restricted Rent]]),"")</f>
        <v>379</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16</v>
      </c>
      <c r="N26" s="1109">
        <f>Application!AC724</f>
        <v>0.3</v>
      </c>
      <c r="O26" s="1109">
        <f>IF(Cdlac[[#This Row],[Quantity]]&gt;0,IF(Cdlac[[#This Row],[Federal]],30%,IF($G$36,40%,Cdlac[[#This Row],[iAMI]])),"")</f>
        <v>0.3</v>
      </c>
      <c r="P26" s="1101" cm="1">
        <f t="array" ref="P26">IF(Cdlac[[#This Row],[Quantity]]&gt;0,INDEX(TcacRents,$P$18,Cdlac[[#This Row],[Bedrooms]]+1)*Cdlac[[#This Row],[AMI]],"")</f>
        <v>1051.2</v>
      </c>
      <c r="Q26" s="1101" cm="1">
        <f t="array" ref="Q26">IF(Cdlac[[#This Row],[Quantity]]&gt;0,INDEX(HudFmrs,$P$18,Cdlac[[#This Row],[Bedrooms]]+1),"")</f>
        <v>2590</v>
      </c>
      <c r="R26" s="1101">
        <f>IF(Cdlac[[#This Row],[Quantity]]&gt;0,MAX(0,Cdlac[[#This Row],[Fair Market Rent]]-Cdlac[[#This Row],[Restricted Rent]]),"")</f>
        <v>1538.8</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149</v>
      </c>
      <c r="F27" s="1129">
        <f>SUM(F22:F26)</f>
        <v>149</v>
      </c>
      <c r="G27" s="1130">
        <f>SUMPRODUCT(D22:D26,F22:F26)</f>
        <v>187.05</v>
      </c>
      <c r="H27" s="1112"/>
      <c r="I27" s="1112"/>
      <c r="L27" s="1079">
        <f>IFERROR(MIN(4,MATCH(Application!B725,UnitSizes,0)-1),"")</f>
        <v>2</v>
      </c>
      <c r="M27" s="1101">
        <f>Application!G725</f>
        <v>10</v>
      </c>
      <c r="N27" s="1109">
        <f>Application!AC725</f>
        <v>0.5</v>
      </c>
      <c r="O27" s="1109">
        <f>IF(Cdlac[[#This Row],[Quantity]]&gt;0,IF(Cdlac[[#This Row],[Federal]],30%,IF($G$36,40%,Cdlac[[#This Row],[iAMI]])),"")</f>
        <v>0.5</v>
      </c>
      <c r="P27" s="1101" cm="1">
        <f t="array" ref="P27">IF(Cdlac[[#This Row],[Quantity]]&gt;0,INDEX(TcacRents,$P$18,Cdlac[[#This Row],[Bedrooms]]+1)*Cdlac[[#This Row],[AMI]],"")</f>
        <v>1752</v>
      </c>
      <c r="Q27" s="1101" cm="1">
        <f t="array" ref="Q27">IF(Cdlac[[#This Row],[Quantity]]&gt;0,INDEX(HudFmrs,$P$18,Cdlac[[#This Row],[Bedrooms]]+1),"")</f>
        <v>2590</v>
      </c>
      <c r="R27" s="1101">
        <f>IF(Cdlac[[#This Row],[Quantity]]&gt;0,MAX(0,Cdlac[[#This Row],[Fair Market Rent]]-Cdlac[[#This Row],[Restricted Rent]]),"")</f>
        <v>838</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42</v>
      </c>
      <c r="N28" s="1109">
        <f>Application!AC726</f>
        <v>0.6</v>
      </c>
      <c r="O28" s="1109">
        <f>IF(Cdlac[[#This Row],[Quantity]]&gt;0,IF(Cdlac[[#This Row],[Federal]],30%,IF($G$36,40%,Cdlac[[#This Row],[iAMI]])),"")</f>
        <v>0.6</v>
      </c>
      <c r="P28" s="1101" cm="1">
        <f t="array" ref="P28">IF(Cdlac[[#This Row],[Quantity]]&gt;0,INDEX(TcacRents,$P$18,Cdlac[[#This Row],[Bedrooms]]+1)*Cdlac[[#This Row],[AMI]],"")</f>
        <v>2102.4</v>
      </c>
      <c r="Q28" s="1101" cm="1">
        <f t="array" ref="Q28">IF(Cdlac[[#This Row],[Quantity]]&gt;0,INDEX(HudFmrs,$P$18,Cdlac[[#This Row],[Bedrooms]]+1),"")</f>
        <v>2590</v>
      </c>
      <c r="R28" s="1101">
        <f>IF(Cdlac[[#This Row],[Quantity]]&gt;0,MAX(0,Cdlac[[#This Row],[Fair Market Rent]]-Cdlac[[#This Row],[Restricted Rent]]),"")</f>
        <v>487.59999999999991</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187.05</v>
      </c>
      <c r="H29" s="1112"/>
      <c r="I29" s="1112"/>
      <c r="L29" s="1079">
        <f>IFERROR(MIN(4,MATCH(Application!B727,UnitSizes,0)-1),"")</f>
        <v>3</v>
      </c>
      <c r="M29" s="1101">
        <f>Application!G727</f>
        <v>13</v>
      </c>
      <c r="N29" s="1109">
        <f>Application!AC727</f>
        <v>0.3</v>
      </c>
      <c r="O29" s="1109">
        <f>IF(Cdlac[[#This Row],[Quantity]]&gt;0,IF(Cdlac[[#This Row],[Federal]],30%,IF($G$36,40%,Cdlac[[#This Row],[iAMI]])),"")</f>
        <v>0.3</v>
      </c>
      <c r="P29" s="1101" cm="1">
        <f t="array" ref="P29">IF(Cdlac[[#This Row],[Quantity]]&gt;0,INDEX(TcacRents,$P$18,Cdlac[[#This Row],[Bedrooms]]+1)*Cdlac[[#This Row],[AMI]],"")</f>
        <v>1214.3999999999999</v>
      </c>
      <c r="Q29" s="1101" cm="1">
        <f t="array" ref="Q29">IF(Cdlac[[#This Row],[Quantity]]&gt;0,INDEX(HudFmrs,$P$18,Cdlac[[#This Row],[Bedrooms]]+1),"")</f>
        <v>3342</v>
      </c>
      <c r="R29" s="1101">
        <f>IF(Cdlac[[#This Row],[Quantity]]&gt;0,MAX(0,Cdlac[[#This Row],[Fair Market Rent]]-Cdlac[[#This Row],[Restricted Rent]]),"")</f>
        <v>2127.6000000000004</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3</v>
      </c>
      <c r="M30" s="1101">
        <f>Application!G728</f>
        <v>17</v>
      </c>
      <c r="N30" s="1109">
        <f>Application!AC728</f>
        <v>0.5</v>
      </c>
      <c r="O30" s="1109">
        <f>IF(Cdlac[[#This Row],[Quantity]]&gt;0,IF(Cdlac[[#This Row],[Federal]],30%,IF($G$36,40%,Cdlac[[#This Row],[iAMI]])),"")</f>
        <v>0.5</v>
      </c>
      <c r="P30" s="1101" cm="1">
        <f t="array" ref="P30">IF(Cdlac[[#This Row],[Quantity]]&gt;0,INDEX(TcacRents,$P$18,Cdlac[[#This Row],[Bedrooms]]+1)*Cdlac[[#This Row],[AMI]],"")</f>
        <v>2024</v>
      </c>
      <c r="Q30" s="1101" cm="1">
        <f t="array" ref="Q30">IF(Cdlac[[#This Row],[Quantity]]&gt;0,INDEX(HudFmrs,$P$18,Cdlac[[#This Row],[Bedrooms]]+1),"")</f>
        <v>3342</v>
      </c>
      <c r="R30" s="1101">
        <f>IF(Cdlac[[#This Row],[Quantity]]&gt;0,MAX(0,Cdlac[[#This Row],[Fair Market Rent]]-Cdlac[[#This Row],[Restricted Rent]]),"")</f>
        <v>1318</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9352500</v>
      </c>
      <c r="H31" s="1112"/>
      <c r="I31" s="1112"/>
      <c r="L31" s="1079">
        <f>IFERROR(MIN(4,MATCH(Application!B729,UnitSizes,0)-1),"")</f>
        <v>3</v>
      </c>
      <c r="M31" s="1101">
        <f>Application!G729</f>
        <v>19</v>
      </c>
      <c r="N31" s="1109">
        <f>Application!AC729</f>
        <v>0.6</v>
      </c>
      <c r="O31" s="1109">
        <f>IF(Cdlac[[#This Row],[Quantity]]&gt;0,IF(Cdlac[[#This Row],[Federal]],30%,IF($G$36,40%,Cdlac[[#This Row],[iAMI]])),"")</f>
        <v>0.6</v>
      </c>
      <c r="P31" s="1101" cm="1">
        <f t="array" ref="P31">IF(Cdlac[[#This Row],[Quantity]]&gt;0,INDEX(TcacRents,$P$18,Cdlac[[#This Row],[Bedrooms]]+1)*Cdlac[[#This Row],[AMI]],"")</f>
        <v>2428.7999999999997</v>
      </c>
      <c r="Q31" s="1101" cm="1">
        <f t="array" ref="Q31">IF(Cdlac[[#This Row],[Quantity]]&gt;0,INDEX(HudFmrs,$P$18,Cdlac[[#This Row],[Bedrooms]]+1),"")</f>
        <v>3342</v>
      </c>
      <c r="R31" s="1101">
        <f>IF(Cdlac[[#This Row],[Quantity]]&gt;0,MAX(0,Cdlac[[#This Row],[Fair Market Rent]]-Cdlac[[#This Row],[Restricted Rent]]),"")</f>
        <v>913.20000000000027</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0.4993288590604027</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138920.40000000002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25005672.000000004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74</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38</v>
      </c>
    </row>
    <row r="54" spans="2:14" ht="15.05" customHeight="1">
      <c r="E54" s="1159" t="s">
        <v>2301</v>
      </c>
      <c r="G54" s="1117">
        <f>ROUNDDOWN(E27*50%,0)</f>
        <v>74</v>
      </c>
    </row>
    <row r="55" spans="2:14" ht="15.05" customHeight="1">
      <c r="E55" s="1159"/>
      <c r="G55" s="1117"/>
    </row>
    <row r="56" spans="2:14" ht="15.05" customHeight="1">
      <c r="E56" s="1159" t="s">
        <v>2252</v>
      </c>
      <c r="G56" s="1156">
        <f>MIN(G53:G54)</f>
        <v>38</v>
      </c>
    </row>
    <row r="57" spans="2:14" ht="15.05" customHeight="1">
      <c r="E57" s="1159" t="s">
        <v>2242</v>
      </c>
      <c r="F57" s="1155" t="s">
        <v>2299</v>
      </c>
      <c r="G57" s="1166">
        <v>20000</v>
      </c>
    </row>
    <row r="58" spans="2:14" ht="15.05" customHeight="1">
      <c r="E58" s="1160" t="s">
        <v>2281</v>
      </c>
      <c r="F58" s="1081"/>
      <c r="G58" s="1165">
        <f>G56*G57</f>
        <v>760000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(ii)</v>
      </c>
      <c r="M62" s="2152" t="s">
        <v>1511</v>
      </c>
      <c r="N62" s="2153"/>
    </row>
    <row r="63" spans="2:14" ht="15.05" customHeight="1">
      <c r="E63" s="1124" t="s">
        <v>2242</v>
      </c>
      <c r="F63" s="1155" t="s">
        <v>2299</v>
      </c>
      <c r="G63" s="1114">
        <v>4000</v>
      </c>
      <c r="L63" s="1170" t="str">
        <f>'Points System'!H639</f>
        <v>(i)</v>
      </c>
      <c r="M63" s="2154" t="s">
        <v>2256</v>
      </c>
      <c r="N63" s="2155"/>
    </row>
    <row r="64" spans="2:14" ht="15.05" customHeight="1">
      <c r="E64" s="1124" t="s">
        <v>2303</v>
      </c>
      <c r="F64" s="1155" t="s">
        <v>2299</v>
      </c>
      <c r="G64" s="1168">
        <f>G27</f>
        <v>187.05</v>
      </c>
      <c r="L64" s="1170" t="str">
        <f>'Points System'!H674</f>
        <v>(i)</v>
      </c>
      <c r="M64" s="2154" t="s">
        <v>2257</v>
      </c>
      <c r="N64" s="2155"/>
    </row>
    <row r="65" spans="2:14" ht="15.05" customHeight="1">
      <c r="E65" s="1160" t="s">
        <v>2261</v>
      </c>
      <c r="F65" s="1081"/>
      <c r="G65" s="1165">
        <f>G62*G63*G64</f>
        <v>5237400</v>
      </c>
      <c r="L65" s="1170" t="str">
        <f>IF(OR('Points System'!H698="(ii)",'Points System'!H698="(i)"),"(i)","N/A")</f>
        <v>N/A</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4</v>
      </c>
      <c r="L67" s="1170" t="str">
        <f>'Points System'!H724</f>
        <v>N/A</v>
      </c>
      <c r="M67" s="2154" t="s">
        <v>2259</v>
      </c>
      <c r="N67" s="2155"/>
    </row>
    <row r="68" spans="2:14" ht="15.05" customHeight="1">
      <c r="E68" s="1124" t="s">
        <v>2242</v>
      </c>
      <c r="F68" s="1155" t="s">
        <v>2299</v>
      </c>
      <c r="G68" s="1166">
        <v>4000</v>
      </c>
      <c r="L68" s="1170" t="str">
        <f>'Points System'!H740</f>
        <v>(i)</v>
      </c>
      <c r="M68" s="2154" t="s">
        <v>2260</v>
      </c>
      <c r="N68" s="2155"/>
    </row>
    <row r="69" spans="2:14" ht="15.05" customHeight="1" thickBot="1">
      <c r="E69" s="1160" t="s">
        <v>2262</v>
      </c>
      <c r="F69" s="1081"/>
      <c r="G69" s="1165">
        <f>G64*G67*G68</f>
        <v>2992800</v>
      </c>
      <c r="L69" s="1172" t="str">
        <f>'Points System'!H752</f>
        <v>(i)</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t="s">
        <v>552</v>
      </c>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187.05</v>
      </c>
    </row>
    <row r="80" spans="2:14" ht="15.05" customHeight="1">
      <c r="E80" s="1124" t="s">
        <v>2242</v>
      </c>
      <c r="F80" s="1155" t="s">
        <v>2299</v>
      </c>
      <c r="G80" s="1166">
        <v>25000</v>
      </c>
    </row>
    <row r="81" spans="2:14" ht="15.05" customHeight="1">
      <c r="E81" s="1160" t="s">
        <v>2263</v>
      </c>
      <c r="F81" s="1081"/>
      <c r="G81" s="1165">
        <f>G77*G80*G64</f>
        <v>4676250</v>
      </c>
    </row>
    <row r="82" spans="2:14" ht="15.05" customHeight="1">
      <c r="C82" s="1115"/>
      <c r="E82" s="1115"/>
    </row>
    <row r="83" spans="2:14" ht="15.05" customHeight="1">
      <c r="E83" s="1160" t="s">
        <v>2240</v>
      </c>
      <c r="G83" s="1165">
        <f>G81+G69+G65</f>
        <v>12906450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Yes</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Low Resource</v>
      </c>
    </row>
    <row r="91" spans="2:14" ht="15.05" customHeight="1">
      <c r="C91" s="1115"/>
    </row>
    <row r="92" spans="2:14" ht="15.05" customHeight="1">
      <c r="E92" s="1124" t="s">
        <v>2306</v>
      </c>
      <c r="G92" s="1117" t="b">
        <f>AND(COUNTIFS(G88:G89,"Yes")&gt;=1,G87="Yes")</f>
        <v>1</v>
      </c>
    </row>
    <row r="93" spans="2:14" ht="15.05" customHeight="1">
      <c r="E93" s="1124"/>
      <c r="G93" s="1117"/>
    </row>
    <row r="94" spans="2:14" ht="15.05" customHeight="1">
      <c r="E94" s="1124" t="s">
        <v>2242</v>
      </c>
      <c r="G94" s="1116">
        <f>IFERROR(INDEX(N87:N89,MATCH(LEFT(G90,17),L87:L89,0)),0)</f>
        <v>0</v>
      </c>
    </row>
    <row r="95" spans="2:14" ht="15.05" customHeight="1">
      <c r="E95" s="1124" t="str">
        <f>E64</f>
        <v>Bedroom-Adjusted Low-Income Units</v>
      </c>
      <c r="F95" s="1155" t="s">
        <v>2299</v>
      </c>
      <c r="G95" s="1156">
        <f>G27</f>
        <v>187.05</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187.05</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t="s">
        <v>552</v>
      </c>
    </row>
    <row r="112" spans="2:9" ht="15.05" customHeight="1"/>
    <row r="113" spans="2:9" ht="15.05" customHeight="1">
      <c r="C113" s="1079" t="s">
        <v>2637</v>
      </c>
      <c r="G113" s="2157" t="s">
        <v>2792</v>
      </c>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Contra Costa</v>
      </c>
    </row>
    <row r="120" spans="2:9" ht="15.05" customHeight="1">
      <c r="E120" s="1124"/>
      <c r="G120" s="1116"/>
    </row>
    <row r="121" spans="2:9" ht="15.05" customHeight="1">
      <c r="E121" s="1124" t="str">
        <f>"2-Bedroom "&amp;G119&amp;" County Basis Limit"</f>
        <v>2-Bedroom Contra Costa County Basis Limit</v>
      </c>
      <c r="G121" s="1116">
        <f>Application!R987</f>
        <v>658400</v>
      </c>
    </row>
    <row r="122" spans="2:9" ht="15.05" customHeight="1">
      <c r="E122" s="1124" t="s">
        <v>2307</v>
      </c>
      <c r="G122" s="1116">
        <f>MEDIAN((Application!BR806:BR863))</f>
        <v>489600</v>
      </c>
    </row>
    <row r="123" spans="2:9" ht="15.05" customHeight="1">
      <c r="D123" s="1081"/>
      <c r="E123" s="1160" t="s">
        <v>2309</v>
      </c>
      <c r="F123" s="1176"/>
      <c r="G123" s="1177">
        <f>((G121-G122)/G122)*0.25</f>
        <v>8.6192810457516339E-2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2024-08-07T19:57:49Z</cp:lastPrinted>
  <dcterms:created xsi:type="dcterms:W3CDTF">2007-12-27T18:26:28Z</dcterms:created>
  <dcterms:modified xsi:type="dcterms:W3CDTF">2024-08-17T01:56:15Z</dcterms:modified>
</cp:coreProperties>
</file>