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San Leandro (4%) (08-27)\TAB 40 - CTCAC E-App\"/>
    </mc:Choice>
  </mc:AlternateContent>
  <xr:revisionPtr revIDLastSave="0" documentId="13_ncr:1_{36E68EAB-1856-410C-967A-1738B6663B8B}"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9" i="4"/>
  <c r="S84"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D90" i="11" s="1"/>
  <c r="C91" i="11"/>
  <c r="C92" i="1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D80" i="11" s="1"/>
  <c r="C81" i="11"/>
  <c r="B80" i="11"/>
  <c r="B82" i="11" s="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R90" i="4"/>
  <c r="R89" i="4"/>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D41" i="11" s="1"/>
  <c r="C42" i="11"/>
  <c r="B42" i="11"/>
  <c r="B44" i="11"/>
  <c r="C44" i="11"/>
  <c r="B46" i="11"/>
  <c r="C46" i="11"/>
  <c r="D46" i="11" s="1"/>
  <c r="B47" i="11"/>
  <c r="C47" i="11"/>
  <c r="B48" i="11"/>
  <c r="B49" i="11"/>
  <c r="B50" i="11"/>
  <c r="B51" i="11"/>
  <c r="B52" i="11"/>
  <c r="B53" i="11"/>
  <c r="C48" i="11"/>
  <c r="C49" i="11"/>
  <c r="C50" i="11"/>
  <c r="C51" i="11"/>
  <c r="C52" i="11"/>
  <c r="D52" i="11" s="1"/>
  <c r="C53" i="11"/>
  <c r="B57" i="11"/>
  <c r="C57" i="11"/>
  <c r="B58" i="11"/>
  <c r="C58" i="11"/>
  <c r="D58" i="11" s="1"/>
  <c r="B59" i="11"/>
  <c r="C59" i="11"/>
  <c r="D59" i="11" s="1"/>
  <c r="B60" i="11"/>
  <c r="C60" i="11"/>
  <c r="B61" i="11"/>
  <c r="C61" i="11"/>
  <c r="B62" i="11"/>
  <c r="C62" i="11"/>
  <c r="B66" i="11"/>
  <c r="B71" i="11" s="1"/>
  <c r="C66" i="11"/>
  <c r="B73" i="11"/>
  <c r="C73" i="11"/>
  <c r="B74" i="11"/>
  <c r="C74" i="11"/>
  <c r="B75" i="11"/>
  <c r="C75" i="11"/>
  <c r="B76" i="11"/>
  <c r="C76" i="11"/>
  <c r="D76" i="11" s="1"/>
  <c r="B77" i="11"/>
  <c r="B78" i="11" s="1"/>
  <c r="C77" i="11"/>
  <c r="B84" i="11"/>
  <c r="C84" i="11"/>
  <c r="D84" i="11" s="1"/>
  <c r="B100" i="11"/>
  <c r="B105" i="11" s="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I12" i="4"/>
  <c r="G12" i="4"/>
  <c r="D6" i="11"/>
  <c r="L63" i="4"/>
  <c r="Q12" i="4"/>
  <c r="O63" i="4"/>
  <c r="O97" i="4"/>
  <c r="O105" i="4"/>
  <c r="D18" i="11"/>
  <c r="D10" i="11"/>
  <c r="D36" i="11"/>
  <c r="G63" i="13"/>
  <c r="G97" i="13"/>
  <c r="G105" i="13"/>
  <c r="G107" i="13"/>
  <c r="D61" i="11"/>
  <c r="D57" i="11"/>
  <c r="D20" i="11"/>
  <c r="D8" i="11"/>
  <c r="D102" i="11"/>
  <c r="D94" i="11"/>
  <c r="K12" i="4"/>
  <c r="C43" i="11"/>
  <c r="C12" i="13"/>
  <c r="D63" i="4"/>
  <c r="D97" i="4" s="1"/>
  <c r="D105" i="4" s="1"/>
  <c r="J12" i="4"/>
  <c r="D22" i="11"/>
  <c r="O12" i="4"/>
  <c r="D95" i="11"/>
  <c r="D25" i="11"/>
  <c r="D12" i="4"/>
  <c r="H12" i="4"/>
  <c r="C82" i="11"/>
  <c r="D23" i="11"/>
  <c r="D19" i="11"/>
  <c r="D73" i="11"/>
  <c r="D44" i="11"/>
  <c r="D35" i="11"/>
  <c r="D32" i="11"/>
  <c r="D15" i="11"/>
  <c r="D63" i="13"/>
  <c r="D97" i="13"/>
  <c r="D105" i="13"/>
  <c r="Q63" i="4"/>
  <c r="Q97" i="4"/>
  <c r="Q105" i="4"/>
  <c r="N63" i="4"/>
  <c r="N97" i="4"/>
  <c r="N105" i="4"/>
  <c r="N12" i="4"/>
  <c r="F12" i="4"/>
  <c r="D60" i="11"/>
  <c r="M12" i="4"/>
  <c r="D74" i="11"/>
  <c r="D38" i="11"/>
  <c r="P63" i="4"/>
  <c r="P97" i="4"/>
  <c r="P105" i="4"/>
  <c r="D12" i="13"/>
  <c r="D62" i="11"/>
  <c r="D24" i="11"/>
  <c r="D101" i="11"/>
  <c r="C63" i="13"/>
  <c r="C97" i="13"/>
  <c r="C105" i="13"/>
  <c r="D92" i="11"/>
  <c r="D75" i="11"/>
  <c r="D28" i="11"/>
  <c r="D103" i="11"/>
  <c r="D88" i="11"/>
  <c r="D42" i="11"/>
  <c r="D21" i="11"/>
  <c r="D16" i="11"/>
  <c r="R26" i="4"/>
  <c r="D81" i="11"/>
  <c r="F63" i="13"/>
  <c r="F97" i="13"/>
  <c r="F105" i="13"/>
  <c r="F107" i="13"/>
  <c r="AD199" i="20"/>
  <c r="D47" i="11"/>
  <c r="M63" i="4"/>
  <c r="M97" i="4"/>
  <c r="M105" i="4"/>
  <c r="G63" i="4"/>
  <c r="G97" i="4" s="1"/>
  <c r="G105" i="4" s="1"/>
  <c r="D91" i="11"/>
  <c r="J63" i="4"/>
  <c r="K63" i="4"/>
  <c r="K97" i="4"/>
  <c r="K105" i="4"/>
  <c r="D104" i="11"/>
  <c r="T63" i="4"/>
  <c r="T97" i="4"/>
  <c r="H63" i="13"/>
  <c r="T105" i="4"/>
  <c r="H97" i="13"/>
  <c r="D96" i="11"/>
  <c r="T107" i="4"/>
  <c r="H105" i="13"/>
  <c r="H107" i="13"/>
  <c r="AD11" i="15"/>
  <c r="D100" i="11" l="1"/>
  <c r="D87" i="11"/>
  <c r="S96" i="4"/>
  <c r="E96" i="13" s="1"/>
  <c r="S81" i="4"/>
  <c r="E81" i="13" s="1"/>
  <c r="D77" i="11"/>
  <c r="C78" i="11"/>
  <c r="B63" i="11"/>
  <c r="D50" i="11"/>
  <c r="D53" i="11"/>
  <c r="AH718" i="3"/>
  <c r="R8" i="4"/>
  <c r="D5" i="11"/>
  <c r="AH733" i="3"/>
  <c r="AH732" i="3"/>
  <c r="H105" i="4"/>
  <c r="S104" i="4"/>
  <c r="E104" i="13" s="1"/>
  <c r="R104" i="4"/>
  <c r="D105" i="11"/>
  <c r="D89" i="11"/>
  <c r="D86" i="11"/>
  <c r="C97" i="11"/>
  <c r="D97" i="11" s="1"/>
  <c r="B77" i="4"/>
  <c r="D78" i="11"/>
  <c r="C71" i="11"/>
  <c r="D71" i="11" s="1"/>
  <c r="R70" i="4"/>
  <c r="S65" i="4"/>
  <c r="D66" i="11"/>
  <c r="B62" i="4"/>
  <c r="S54" i="4"/>
  <c r="E54" i="13" s="1"/>
  <c r="E45" i="13"/>
  <c r="B54" i="4"/>
  <c r="R42" i="4"/>
  <c r="S40" i="4"/>
  <c r="D43" i="11"/>
  <c r="B38" i="4"/>
  <c r="S38" i="4"/>
  <c r="E38" i="13" s="1"/>
  <c r="F63" i="4"/>
  <c r="F97" i="4" s="1"/>
  <c r="F105" i="4" s="1"/>
  <c r="B39" i="11"/>
  <c r="C39" i="11"/>
  <c r="D39" i="11" s="1"/>
  <c r="B11" i="13"/>
  <c r="C12" i="4"/>
  <c r="B12" i="13" s="1"/>
  <c r="E12" i="4"/>
  <c r="E63" i="4"/>
  <c r="E97" i="4" s="1"/>
  <c r="E105" i="4" s="1"/>
  <c r="R11" i="4"/>
  <c r="S10" i="4"/>
  <c r="E10" i="13" s="1"/>
  <c r="D11" i="11"/>
  <c r="C9" i="11"/>
  <c r="C13" i="11" s="1"/>
  <c r="B8" i="4"/>
  <c r="N187" i="27" s="1"/>
  <c r="AH730" i="3"/>
  <c r="AH722" i="3"/>
  <c r="AH720" i="3"/>
  <c r="AH728" i="3"/>
  <c r="AH725" i="3"/>
  <c r="AH727" i="3"/>
  <c r="AH724" i="3"/>
  <c r="AH723" i="3"/>
  <c r="AH726" i="3"/>
  <c r="AH729" i="3"/>
  <c r="AH721" i="3"/>
  <c r="AH719" i="3"/>
  <c r="I58" i="7"/>
  <c r="K53" i="7"/>
  <c r="G58" i="7"/>
  <c r="B104" i="4"/>
  <c r="B97" i="11"/>
  <c r="B96" i="4"/>
  <c r="R96" i="4"/>
  <c r="N186" i="27"/>
  <c r="R81" i="4"/>
  <c r="D82" i="11"/>
  <c r="R77" i="4"/>
  <c r="C63" i="11"/>
  <c r="D63" i="11" s="1"/>
  <c r="R54" i="4"/>
  <c r="D51" i="11"/>
  <c r="B55" i="11"/>
  <c r="C55" i="11"/>
  <c r="B42" i="4"/>
  <c r="R38" i="4"/>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R12" i="4" l="1"/>
  <c r="B64" i="11"/>
  <c r="R63" i="4"/>
  <c r="D9" i="11"/>
  <c r="N193" i="27"/>
  <c r="B12" i="4"/>
  <c r="B98" i="11"/>
  <c r="B106" i="11" s="1"/>
  <c r="E65" i="13"/>
  <c r="S70" i="4"/>
  <c r="E70" i="13" s="1"/>
  <c r="D55" i="11"/>
  <c r="S42" i="4"/>
  <c r="E42" i="13" s="1"/>
  <c r="E40" i="13"/>
  <c r="AY1004" i="3"/>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63" i="13" l="1"/>
  <c r="S97" i="4"/>
  <c r="AB47" i="15"/>
  <c r="AB49" i="15" s="1"/>
  <c r="AB54" i="15" s="1"/>
  <c r="AB55" i="15" s="1"/>
  <c r="N183" i="27"/>
  <c r="N184" i="27" s="1"/>
  <c r="O58" i="7"/>
  <c r="Q53"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40" i="3"/>
  <c r="AJ1006" i="3"/>
  <c r="AJ1028" i="3"/>
  <c r="AJ1035" i="3"/>
  <c r="I14" i="21" s="1"/>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S107" i="4"/>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AF542" i="20" s="1"/>
  <c r="AK548" i="20" s="1"/>
  <c r="T807" i="20" s="1"/>
  <c r="AF807"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T11" i="15" l="1"/>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<sst xmlns="http://schemas.openxmlformats.org/spreadsheetml/2006/main" count="5261" uniqueCount="2778">
  <si>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</si>
  <si>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</si>
  <si>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</si>
  <si>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</si>
  <si>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</si>
  <si>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</si>
  <si>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</si>
  <si>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</si>
  <si>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</si>
  <si>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</si>
  <si>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</si>
  <si>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</si>
  <si>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</si>
  <si>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</si>
  <si>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</si>
  <si>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</si>
  <si>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</si>
  <si>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</si>
  <si>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</si>
  <si>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</si>
  <si>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</si>
  <si>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</si>
  <si>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</si>
  <si>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</si>
  <si>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</si>
  <si>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</si>
  <si>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</si>
  <si>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</si>
  <si>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</si>
  <si>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</si>
  <si>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</si>
  <si>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</si>
  <si>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</si>
  <si>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</si>
  <si>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</si>
  <si>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</si>
  <si>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</si>
  <si>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</si>
  <si>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</si>
  <si>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</si>
  <si>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</si>
  <si>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</si>
  <si>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</si>
  <si>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</si>
  <si>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</si>
  <si>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</si>
  <si>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</si>
  <si>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</si>
  <si>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</si>
  <si>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</si>
  <si>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</si>
  <si>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</si>
  <si>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</si>
  <si>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</si>
  <si>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</si>
  <si>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</si>
  <si>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</si>
  <si>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</si>
  <si>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</si>
  <si>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</si>
  <si>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</si>
  <si>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</si>
  <si>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</si>
  <si>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</si>
  <si>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</si>
  <si>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</si>
  <si>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</si>
  <si>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</si>
  <si>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</si>
  <si>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</si>
  <si>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</si>
  <si>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</si>
  <si>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</si>
  <si>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</si>
  <si>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</si>
  <si>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</si>
  <si>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</si>
  <si>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</si>
  <si>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</si>
  <si>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</si>
  <si>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</si>
  <si>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</si>
  <si>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</si>
  <si>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</si>
  <si>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</si>
  <si>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</si>
  <si>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</si>
  <si>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</si>
  <si>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</si>
  <si>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</si>
  <si>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</si>
  <si>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</si>
  <si>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</si>
  <si>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</si>
  <si>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</si>
  <si>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</si>
  <si>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</si>
  <si>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</si>
  <si>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</si>
  <si>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</si>
  <si>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</si>
  <si>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</si>
  <si>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</si>
  <si>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</si>
  <si>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</si>
  <si>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</si>
  <si>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</si>
  <si>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</si>
  <si>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</si>
  <si>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</si>
  <si>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</si>
  <si>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</si>
  <si>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</si>
  <si>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</si>
  <si>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</si>
  <si>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</si>
  <si>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</si>
  <si>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</si>
  <si>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</si>
  <si>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</si>
  <si>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</si>
  <si>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</si>
  <si>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</si>
  <si>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</si>
  <si>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</si>
  <si>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</si>
  <si>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</si>
  <si>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</si>
  <si>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</si>
  <si>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</si>
  <si>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</si>
  <si>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</si>
  <si>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</si>
  <si>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</si>
  <si>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</si>
  <si>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</si>
  <si>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</si>
  <si>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</si>
  <si>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</si>
  <si>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</si>
  <si>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</si>
  <si>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</si>
  <si>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</si>
  <si>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</si>
  <si>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</si>
  <si>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</si>
  <si>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</si>
  <si>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</si>
  <si>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</si>
  <si>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</si>
  <si>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</si>
  <si>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</si>
  <si>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</si>
  <si>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</si>
  <si>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</si>
  <si>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</si>
  <si>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</si>
  <si>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</si>
  <si>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</si>
  <si>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</si>
  <si>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</si>
  <si>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</si>
  <si>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</si>
  <si>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</si>
  <si>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</si>
  <si>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</si>
  <si>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</si>
  <si>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</si>
  <si>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</si>
  <si>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</si>
  <si>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</si>
  <si>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</si>
  <si>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</si>
  <si>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</si>
  <si>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</si>
  <si>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</si>
  <si>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</si>
  <si>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</si>
  <si>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</si>
  <si>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</si>
  <si>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</si>
  <si>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</si>
  <si>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</si>
  <si>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</si>
  <si>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</si>
  <si>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</si>
  <si>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</si>
  <si>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</si>
  <si>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</si>
  <si>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</si>
  <si>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</si>
  <si>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</si>
  <si>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</si>
  <si>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</si>
  <si>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</si>
  <si>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</si>
  <si>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</si>
  <si>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</si>
  <si>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</si>
  <si>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</si>
  <si>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</si>
  <si>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</si>
  <si>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</si>
  <si>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</si>
  <si>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</si>
  <si>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</si>
  <si>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</si>
  <si>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</si>
  <si>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</si>
  <si>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</si>
  <si>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</si>
  <si>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</si>
  <si>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</si>
  <si>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</si>
  <si>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</si>
  <si>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</si>
  <si>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</si>
  <si>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</si>
  <si>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</si>
  <si>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</si>
  <si>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</si>
  <si>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</si>
  <si>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</si>
  <si>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</si>
  <si>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</si>
  <si>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</si>
  <si>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</si>
  <si>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</si>
  <si>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</si>
  <si>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</si>
  <si>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</si>
  <si>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</si>
  <si>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</si>
  <si>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</si>
  <si>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</si>
  <si>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</si>
  <si>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</si>
  <si>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</si>
  <si>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</si>
  <si>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</si>
  <si>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</si>
  <si>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</si>
  <si>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</si>
  <si>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</si>
  <si>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</si>
  <si>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</si>
  <si>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</si>
  <si>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</si>
  <si>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</si>
  <si>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</si>
  <si>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</si>
  <si>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</si>
  <si>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</si>
  <si>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</si>
  <si>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</si>
  <si>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</si>
  <si>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</si>
  <si>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</si>
  <si>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</si>
  <si>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</si>
  <si>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</si>
  <si>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</si>
  <si>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</si>
  <si>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</si>
  <si>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</si>
  <si>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</si>
  <si>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</si>
  <si>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</si>
  <si>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</si>
  <si>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</si>
  <si>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</si>
  <si>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</si>
  <si>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</si>
  <si>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</si>
  <si>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</si>
  <si>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</si>
  <si>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</si>
  <si>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</si>
  <si>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</si>
  <si>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</si>
  <si>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</si>
  <si>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</si>
  <si>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</si>
  <si>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</si>
  <si>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</si>
  <si>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</si>
  <si>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</si>
  <si>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</si>
  <si>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</si>
  <si>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</si>
  <si>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</si>
  <si>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</si>
  <si>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</si>
  <si>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</si>
  <si>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</si>
  <si>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</si>
  <si>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</si>
  <si>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</si>
  <si>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</si>
  <si>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</si>
  <si>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</si>
  <si>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</si>
  <si>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</si>
  <si>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</si>
  <si>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</si>
  <si>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</si>
  <si>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</si>
  <si>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</si>
  <si>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</si>
  <si>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</si>
  <si>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</si>
  <si>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</si>
  <si>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</si>
  <si>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</si>
  <si>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</si>
  <si>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</si>
  <si>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</si>
  <si>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</si>
  <si>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</si>
  <si>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</si>
  <si>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</si>
  <si>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</si>
  <si>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</si>
  <si>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</si>
  <si>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</si>
  <si>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</si>
  <si>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</si>
  <si>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</si>
  <si>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</si>
  <si>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</si>
  <si>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</si>
  <si>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</si>
  <si>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</si>
  <si>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</si>
  <si>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</si>
  <si>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</si>
  <si>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</si>
  <si>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</si>
  <si>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</si>
  <si>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</si>
  <si>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</si>
  <si>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</si>
  <si>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</si>
  <si>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</si>
  <si>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</si>
  <si>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</si>
  <si>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</si>
  <si>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</si>
  <si>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</si>
  <si>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</si>
  <si>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</si>
  <si>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</si>
  <si>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</si>
  <si>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</si>
  <si>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</si>
  <si>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</si>
  <si>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</si>
  <si>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</si>
  <si>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</si>
  <si>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</si>
  <si>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</si>
  <si>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</si>
  <si>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</si>
  <si>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</si>
  <si>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</si>
  <si>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</si>
  <si>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</si>
  <si>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</si>
  <si>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</si>
  <si>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</si>
  <si>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</si>
  <si>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</si>
  <si>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</si>
  <si>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</si>
  <si>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</si>
  <si>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</si>
  <si>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</si>
  <si>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</si>
  <si>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</si>
  <si>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</si>
  <si>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</si>
  <si>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</si>
  <si>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</si>
  <si>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</si>
  <si>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</si>
  <si>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</si>
  <si>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</si>
  <si>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</si>
  <si>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</si>
  <si>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</si>
  <si>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</si>
  <si>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</si>
  <si>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</si>
  <si>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</si>
  <si>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</si>
  <si>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</si>
  <si>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</si>
  <si>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</si>
  <si>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</si>
  <si>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</si>
  <si>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</si>
  <si>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</si>
  <si>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</si>
  <si>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</si>
  <si>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</si>
  <si>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</si>
  <si>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</si>
  <si>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</si>
  <si>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</si>
  <si>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</si>
  <si>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</si>
  <si>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</si>
  <si>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</si>
  <si>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</si>
  <si>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</si>
  <si>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</si>
  <si>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</si>
  <si>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</si>
  <si>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</si>
  <si>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</si>
  <si>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</si>
  <si>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</si>
  <si>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</si>
  <si>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</si>
  <si>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</si>
  <si>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</si>
  <si>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</si>
  <si>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</si>
  <si>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</si>
  <si>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</si>
  <si>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</si>
  <si>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</si>
  <si>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</si>
  <si>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</si>
  <si>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</si>
  <si>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</si>
  <si>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</si>
  <si>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</si>
  <si>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</si>
  <si>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</si>
  <si>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</si>
  <si>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</si>
  <si>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</si>
  <si>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</si>
  <si>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</si>
  <si>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</si>
  <si>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</si>
  <si>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</si>
  <si>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</si>
  <si>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</si>
  <si>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</si>
  <si>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</si>
  <si>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</si>
  <si>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</si>
  <si>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</si>
  <si>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</si>
  <si>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</si>
  <si>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</si>
  <si>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</si>
  <si>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</si>
  <si>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</si>
  <si>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</si>
  <si>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</si>
  <si>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</si>
  <si>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</si>
  <si>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</si>
  <si>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</si>
  <si>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</si>
  <si>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</si>
  <si>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</si>
  <si>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</si>
  <si>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</si>
  <si>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</si>
  <si>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</si>
  <si>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</si>
  <si>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</si>
  <si>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</si>
  <si>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</si>
  <si>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</si>
  <si>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</si>
  <si>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</si>
  <si>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</si>
  <si>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</si>
  <si>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</si>
  <si>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</si>
  <si>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</si>
  <si>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</si>
  <si>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</si>
  <si>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</si>
  <si>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</si>
  <si>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</si>
  <si>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</si>
  <si>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</si>
  <si>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</si>
  <si>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</si>
  <si>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</si>
  <si>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</si>
  <si>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</si>
  <si>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</si>
  <si>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</si>
  <si>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</si>
  <si>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</si>
  <si>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</si>
  <si>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</si>
  <si>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</si>
  <si>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</si>
  <si>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</si>
  <si>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</si>
  <si>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</si>
  <si>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</si>
  <si>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</si>
  <si>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</si>
  <si>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</si>
  <si>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</si>
  <si>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</si>
  <si>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</si>
  <si>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</si>
  <si>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</si>
  <si>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</si>
  <si>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</si>
  <si>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</si>
  <si>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</si>
  <si>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</si>
  <si>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</si>
  <si>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</si>
  <si>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</si>
  <si>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</si>
  <si>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</si>
  <si>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</si>
  <si>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</si>
  <si>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</si>
  <si>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</si>
  <si>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</si>
  <si>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</si>
  <si>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</si>
  <si>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</si>
  <si>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</si>
  <si>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</si>
  <si>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</si>
  <si>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</si>
  <si>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</si>
  <si>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</si>
  <si>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</si>
  <si>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</si>
  <si>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</si>
  <si>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</si>
  <si>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</si>
  <si>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</si>
  <si>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</si>
  <si>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</si>
  <si>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</si>
  <si>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</si>
  <si>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</si>
  <si>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</si>
  <si>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</si>
  <si>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</si>
  <si>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</si>
  <si>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</si>
  <si>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</si>
  <si>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</si>
  <si>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</si>
  <si>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</si>
  <si>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</si>
  <si>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</si>
  <si>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</si>
  <si>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</si>
  <si>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</si>
  <si>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</si>
  <si>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</si>
  <si>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</si>
  <si>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</si>
  <si>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</si>
  <si>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</si>
  <si>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</si>
  <si>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</si>
  <si>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</si>
  <si>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</si>
  <si>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</si>
  <si>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</si>
  <si>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</si>
  <si>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</si>
  <si>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</si>
  <si>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</si>
  <si>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</si>
  <si>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</si>
  <si>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</si>
  <si>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</si>
  <si>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</si>
  <si>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</si>
  <si>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</si>
  <si>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</si>
  <si>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</si>
  <si>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</si>
  <si>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</si>
  <si>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</si>
  <si>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</si>
  <si>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</si>
  <si>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</si>
  <si>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</si>
  <si>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</si>
  <si>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</si>
  <si>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</si>
  <si>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</si>
  <si>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</si>
  <si>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</si>
  <si>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</si>
  <si>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</si>
  <si>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</si>
  <si>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</si>
  <si>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</si>
  <si>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</si>
  <si>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</si>
  <si>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</si>
  <si>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</si>
  <si>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</si>
  <si>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</si>
  <si>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</si>
  <si>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</si>
  <si>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</si>
  <si>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</si>
  <si>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</si>
  <si>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</si>
  <si>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</si>
  <si>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</si>
  <si>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</si>
  <si>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</si>
  <si>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</si>
  <si>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</si>
  <si>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</si>
  <si>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</si>
  <si>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</si>
  <si>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</si>
  <si>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</si>
  <si>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</si>
  <si>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</si>
  <si>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</si>
  <si>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</si>
  <si>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</si>
  <si>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</si>
  <si>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</si>
  <si>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</si>
  <si>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</si>
  <si>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</si>
  <si>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</si>
  <si>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</si>
  <si>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</si>
  <si>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</si>
  <si>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</si>
  <si>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</si>
  <si>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</si>
  <si>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</si>
  <si>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</si>
  <si>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</si>
  <si>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</si>
  <si>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</si>
  <si>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</si>
  <si>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</si>
  <si>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</si>
  <si>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</si>
  <si>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</si>
  <si>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</si>
  <si>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</si>
  <si>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</si>
  <si>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</si>
  <si>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</si>
  <si>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</si>
  <si>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</si>
  <si>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</si>
  <si>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</si>
  <si>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</si>
  <si>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</si>
  <si>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</si>
  <si>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</si>
  <si>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</si>
  <si>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</si>
  <si>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</si>
  <si>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</si>
  <si>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</si>
  <si>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</si>
  <si>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</si>
  <si>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</si>
  <si>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</si>
  <si>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</si>
  <si>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</si>
  <si>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</si>
  <si>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</si>
  <si>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</si>
  <si>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</si>
  <si>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</si>
  <si>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</si>
  <si>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</si>
  <si>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</si>
  <si>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</si>
  <si>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</si>
  <si>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</si>
  <si>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</si>
  <si>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</si>
  <si>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</si>
  <si>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</si>
  <si>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</si>
  <si>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</si>
  <si>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</si>
  <si>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</si>
  <si>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</si>
  <si>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</si>
  <si>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</si>
  <si>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</si>
  <si>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</si>
  <si>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</si>
  <si>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</si>
  <si>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</si>
  <si>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</si>
  <si>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</si>
  <si>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</si>
  <si>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</si>
  <si>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</si>
  <si>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</si>
  <si>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</si>
  <si>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</si>
  <si>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</si>
  <si>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</si>
  <si>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</si>
  <si>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</si>
  <si>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</si>
  <si>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</si>
  <si>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</si>
  <si>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</si>
  <si>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</si>
  <si>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</si>
  <si>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</si>
  <si>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</si>
  <si>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</si>
  <si>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</si>
  <si>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</si>
  <si>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</si>
  <si>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</si>
  <si>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</si>
  <si>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</si>
  <si>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</si>
  <si>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</si>
  <si>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</si>
  <si>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</si>
  <si>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</si>
  <si>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</si>
  <si>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</si>
  <si>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</si>
  <si>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</si>
  <si>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</si>
  <si>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</si>
  <si>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</si>
  <si>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</si>
  <si>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</si>
  <si>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</si>
  <si>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</si>
  <si>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</si>
  <si>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</si>
  <si>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</si>
  <si>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</si>
  <si>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</si>
  <si>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</si>
  <si>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</si>
  <si>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</si>
  <si>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</si>
  <si>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</si>
  <si>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</si>
  <si>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</si>
  <si>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</si>
  <si>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</si>
  <si>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</si>
  <si>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</si>
  <si>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</si>
  <si>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</si>
  <si>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</si>
  <si>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</si>
  <si>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</si>
  <si>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</si>
  <si>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</si>
  <si>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</si>
  <si>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</si>
  <si>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</si>
  <si>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</si>
  <si>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</si>
  <si>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</si>
  <si>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</si>
  <si>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</si>
  <si>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</si>
  <si>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</si>
  <si>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</si>
  <si>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</si>
  <si>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</si>
  <si>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</si>
  <si>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</si>
  <si>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</si>
  <si>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</si>
  <si>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</si>
  <si>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</si>
  <si>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</si>
  <si>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</si>
  <si>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</si>
  <si>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</si>
  <si>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</si>
  <si>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</si>
  <si>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</si>
  <si>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</si>
  <si>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</si>
  <si>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</si>
  <si>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</si>
  <si>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</si>
  <si>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</si>
  <si>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</si>
  <si>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</si>
  <si>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</si>
  <si>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</si>
  <si>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</si>
  <si>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</si>
  <si>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</si>
  <si>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</si>
  <si>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</si>
  <si>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</si>
  <si>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</si>
  <si>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</si>
  <si>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</si>
  <si>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</si>
  <si>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</si>
  <si>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</si>
  <si>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</si>
  <si>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</si>
  <si>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</si>
  <si>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</si>
  <si>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</si>
  <si>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</si>
  <si>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</si>
  <si>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</si>
  <si>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</si>
  <si>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</si>
  <si>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</si>
  <si>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</si>
  <si>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</si>
  <si>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</si>
  <si>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</si>
  <si>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</si>
  <si>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</si>
  <si>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</si>
  <si>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</si>
  <si>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</si>
  <si>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</si>
  <si>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</si>
  <si>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</si>
  <si>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</si>
  <si>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</si>
  <si>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</si>
  <si>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</si>
  <si>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</si>
  <si>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</si>
  <si>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</si>
  <si>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</si>
  <si>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</si>
  <si>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</si>
  <si>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</si>
  <si>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</si>
  <si>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</si>
  <si>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</si>
  <si>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</si>
  <si>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</si>
  <si>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</si>
  <si>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</si>
  <si>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</si>
  <si>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</si>
  <si>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</si>
  <si>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</si>
  <si>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</si>
  <si>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</si>
  <si>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</si>
  <si>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</si>
  <si>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</si>
  <si>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</si>
  <si>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</si>
  <si>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</si>
  <si>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</si>
  <si>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</si>
  <si>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</si>
  <si>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</si>
  <si>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</si>
  <si>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</si>
  <si>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</si>
  <si>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</si>
  <si>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</si>
  <si>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</si>
  <si>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</si>
  <si>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</si>
  <si>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</si>
  <si>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</si>
  <si>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</si>
  <si>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</si>
  <si>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</si>
  <si>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</si>
  <si>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</si>
  <si>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</si>
  <si>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</si>
  <si>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</si>
  <si>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</si>
  <si>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</si>
  <si>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</si>
  <si>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</si>
  <si>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</si>
  <si>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</si>
  <si>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</si>
  <si>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</si>
  <si>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</si>
  <si>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</si>
  <si>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</si>
  <si>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</si>
  <si>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</si>
  <si>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</si>
  <si>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</si>
  <si>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</si>
  <si>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</si>
  <si>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</si>
  <si>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</si>
  <si>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</si>
  <si>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</si>
  <si>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</si>
  <si>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</si>
  <si>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</si>
  <si>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</si>
  <si>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</si>
  <si>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</si>
  <si>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</si>
  <si>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</si>
  <si>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</si>
  <si>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</si>
  <si>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</si>
  <si>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</si>
  <si>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</si>
  <si>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</si>
  <si>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</si>
  <si>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</si>
  <si>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</si>
  <si>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</si>
  <si>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</si>
  <si>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</si>
  <si>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</si>
  <si>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</si>
  <si>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</si>
  <si>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</si>
  <si>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</si>
  <si>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</si>
  <si>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</si>
  <si>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</si>
  <si>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</si>
  <si>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</si>
  <si>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</si>
  <si>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</si>
  <si>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</si>
  <si>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</si>
  <si>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</si>
  <si>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</si>
  <si>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</si>
  <si>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</si>
  <si>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</si>
  <si>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</si>
  <si>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</si>
  <si>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</si>
  <si>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</si>
  <si>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</si>
  <si>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</si>
  <si>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</si>
  <si>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</si>
  <si>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</si>
  <si>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</si>
  <si>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</si>
  <si>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</si>
  <si>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</si>
  <si>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</si>
  <si>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</si>
  <si>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</si>
  <si>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</si>
  <si>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</si>
  <si>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</si>
  <si>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</si>
  <si>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</si>
  <si>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</si>
  <si>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</si>
  <si>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</si>
  <si>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</si>
  <si>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</si>
  <si>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</si>
  <si>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</si>
  <si>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</si>
  <si>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</si>
  <si>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</si>
  <si>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</si>
  <si>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</si>
  <si>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</si>
  <si>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</si>
  <si>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</si>
  <si>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</si>
  <si>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</si>
  <si>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</si>
  <si>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</si>
  <si>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</si>
  <si>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</si>
  <si>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</si>
  <si>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</si>
  <si>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</si>
  <si>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</si>
  <si>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</si>
  <si>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</si>
  <si>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</si>
  <si>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</si>
  <si>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</si>
  <si>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</si>
  <si>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</si>
  <si>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</si>
  <si>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</si>
  <si>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</si>
  <si>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</si>
  <si>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</si>
  <si>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</si>
  <si>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</si>
  <si>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</si>
  <si>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</si>
  <si>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</si>
  <si>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</si>
  <si>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</si>
  <si>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</si>
  <si>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</si>
  <si>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</si>
  <si>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</si>
  <si>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</si>
  <si>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</si>
  <si>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</si>
  <si>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</si>
  <si>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</si>
  <si>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</si>
  <si>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</si>
  <si>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</si>
  <si>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</si>
  <si>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</si>
  <si>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</si>
  <si>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</si>
  <si>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</si>
  <si>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</si>
  <si>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</si>
  <si>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</si>
  <si>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</si>
  <si>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</si>
  <si>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</si>
  <si>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</si>
  <si>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</si>
  <si>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</si>
  <si>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</si>
  <si>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</si>
  <si>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</si>
  <si>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</si>
  <si>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</si>
  <si>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</si>
  <si>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</si>
  <si>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</si>
  <si>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</si>
  <si>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</si>
  <si>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</si>
  <si>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</si>
  <si>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</si>
  <si>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</si>
  <si>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</si>
  <si>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</si>
  <si>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</si>
  <si>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</si>
  <si>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</si>
  <si>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</si>
  <si>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</si>
  <si>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</si>
  <si>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</si>
  <si>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</si>
  <si>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</si>
  <si>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</si>
  <si>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</si>
  <si>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</si>
  <si>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</si>
  <si>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</si>
  <si>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</si>
  <si>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</si>
  <si>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</si>
  <si>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</si>
  <si>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</si>
  <si>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</si>
  <si>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</si>
  <si>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</si>
  <si>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</si>
  <si>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</si>
  <si>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</si>
  <si>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</si>
  <si>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</si>
  <si>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</si>
  <si>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</si>
  <si>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</si>
  <si>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</si>
  <si>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</si>
  <si>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</si>
  <si>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</si>
  <si>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</si>
  <si>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</si>
  <si>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</si>
  <si>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</si>
  <si>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</si>
  <si>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</si>
  <si>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</si>
  <si>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</si>
  <si>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</si>
  <si>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</si>
  <si>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</si>
  <si>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</si>
  <si>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</si>
  <si>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</si>
  <si>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</si>
  <si>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</si>
  <si>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</si>
  <si>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</si>
  <si>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</si>
  <si>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</si>
  <si>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</si>
  <si>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</si>
  <si>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</si>
  <si>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</si>
  <si>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</si>
  <si>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</si>
  <si>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</si>
  <si>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</si>
  <si>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</si>
  <si>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</si>
  <si>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</si>
  <si>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</si>
  <si>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</si>
  <si>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</si>
  <si>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</si>
  <si>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</si>
  <si>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</si>
  <si>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</si>
  <si>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</si>
  <si>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</si>
  <si>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</si>
  <si>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</si>
  <si>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</si>
  <si>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</si>
  <si>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</si>
  <si>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</si>
  <si>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</si>
  <si>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</si>
  <si>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</si>
  <si>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</si>
  <si>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</si>
  <si>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</si>
  <si>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</si>
  <si>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</si>
  <si>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</si>
  <si>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</si>
  <si>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</si>
  <si>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</si>
  <si>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</si>
  <si>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</si>
  <si>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</si>
  <si>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</si>
  <si>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</si>
  <si>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</si>
  <si>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</si>
  <si>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</si>
  <si>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</si>
  <si>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</si>
  <si>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</si>
  <si>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</si>
  <si>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</si>
  <si>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</si>
  <si>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</si>
  <si>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</si>
  <si>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</si>
  <si>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</si>
  <si>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</si>
  <si>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</si>
  <si>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</si>
  <si>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</si>
  <si>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</si>
  <si>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</si>
  <si>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</si>
  <si>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</si>
  <si>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</si>
  <si>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</si>
  <si>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</si>
  <si>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</si>
  <si>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</si>
  <si>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</si>
  <si>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</si>
  <si>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</si>
  <si>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</si>
  <si>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</si>
  <si>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</si>
  <si>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</si>
  <si>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</si>
  <si>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</si>
  <si>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</si>
  <si>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</si>
  <si>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</si>
  <si>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</si>
  <si>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</si>
  <si>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</si>
  <si>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</si>
  <si>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</si>
  <si>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</si>
  <si>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</si>
  <si>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</si>
  <si>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</si>
  <si>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</si>
  <si>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</si>
  <si>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</si>
  <si>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</si>
  <si>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</si>
  <si>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</si>
  <si>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</si>
  <si>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</si>
  <si>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</si>
  <si>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</si>
  <si>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</si>
  <si>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</si>
  <si>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</si>
  <si>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</si>
  <si>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</si>
  <si>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</si>
  <si>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</si>
  <si>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</si>
  <si>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</si>
  <si>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</si>
  <si>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</si>
  <si>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</si>
  <si>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</si>
  <si>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</si>
  <si>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</si>
  <si>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</si>
  <si>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</si>
  <si>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</si>
  <si>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</si>
  <si>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</si>
  <si>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</si>
  <si>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</si>
  <si>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</si>
  <si>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</si>
  <si>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</si>
  <si>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</si>
  <si>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</si>
  <si>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</si>
  <si>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</si>
  <si>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</si>
  <si>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</si>
  <si>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</si>
  <si>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</si>
  <si>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</si>
  <si>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</si>
  <si>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</si>
  <si>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</si>
  <si>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</si>
  <si>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</si>
  <si>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</si>
  <si>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</si>
  <si>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</si>
  <si>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</si>
  <si>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</si>
  <si>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</si>
  <si>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</si>
  <si>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</si>
  <si>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</si>
  <si>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</si>
  <si>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</si>
  <si>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</si>
  <si>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</si>
  <si>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</si>
  <si>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</si>
  <si>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</si>
  <si>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</si>
  <si>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</si>
  <si>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</si>
  <si>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</si>
  <si>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</si>
  <si>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</si>
  <si>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</si>
  <si>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</si>
  <si>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</si>
  <si>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</si>
  <si>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</si>
  <si>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</si>
  <si>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</si>
  <si>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</si>
  <si>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</si>
  <si>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</si>
  <si>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</si>
  <si>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</si>
  <si>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</si>
  <si>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</si>
  <si>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</si>
  <si>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</si>
  <si>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</si>
  <si>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</si>
  <si>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</si>
  <si>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</si>
  <si>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</si>
  <si>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</si>
  <si>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</si>
  <si>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</si>
  <si>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</si>
  <si>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</si>
  <si>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</si>
  <si>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</si>
  <si>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</si>
  <si>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</si>
  <si>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</si>
  <si>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</si>
  <si>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</si>
  <si>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</si>
  <si>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</si>
  <si>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</si>
  <si>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</si>
  <si>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</si>
  <si>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</si>
  <si>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</si>
  <si>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</si>
  <si>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</si>
  <si>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</si>
  <si>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</si>
  <si>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</si>
  <si>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</si>
  <si>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</si>
  <si>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</si>
  <si>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</si>
  <si>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</si>
  <si>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</si>
  <si>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</si>
  <si>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</si>
  <si>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</si>
  <si>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</si>
  <si>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</si>
  <si>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</si>
  <si>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</si>
  <si>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</si>
  <si>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</si>
  <si>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</si>
  <si>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</si>
  <si>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</si>
  <si>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</si>
  <si>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</si>
  <si>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</si>
  <si>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</si>
  <si>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</si>
  <si>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</si>
  <si>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</si>
  <si>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</si>
  <si>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</si>
  <si>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</si>
  <si>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</si>
  <si>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</si>
  <si>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</si>
  <si>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</si>
  <si>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</si>
  <si>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</si>
  <si>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</si>
  <si>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</si>
  <si>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</si>
  <si>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</si>
  <si>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</si>
  <si>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</si>
  <si>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</si>
  <si>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</si>
  <si>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</si>
  <si>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</si>
  <si>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</si>
  <si>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</si>
  <si>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</si>
  <si>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</si>
  <si>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</si>
  <si>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</si>
  <si>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</si>
  <si>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</si>
  <si>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</si>
  <si>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</si>
  <si>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</si>
  <si>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</si>
  <si>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</si>
  <si>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</si>
  <si>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</si>
  <si>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</si>
  <si>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</si>
  <si>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</si>
  <si>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</si>
  <si>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</si>
  <si>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</si>
  <si>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</si>
  <si>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</si>
  <si>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</si>
  <si>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</si>
  <si>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</si>
  <si>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</si>
  <si>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</si>
  <si>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</si>
  <si>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</si>
  <si>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</si>
  <si>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</si>
  <si>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</si>
  <si>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</si>
  <si>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</si>
  <si>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</si>
  <si>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</si>
  <si>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</si>
  <si>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</si>
  <si>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</si>
  <si>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</si>
  <si>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</si>
  <si>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</si>
  <si>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</si>
  <si>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</si>
  <si>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</si>
  <si>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</si>
  <si>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</si>
  <si>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</si>
  <si>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</si>
  <si>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</si>
  <si>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</si>
  <si>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</si>
  <si>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</si>
  <si>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</si>
  <si>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</si>
  <si>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</si>
  <si>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</si>
  <si>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</si>
  <si>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</si>
  <si>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</si>
  <si>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</si>
  <si>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</si>
  <si>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</si>
  <si>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</si>
  <si>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</si>
  <si>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</si>
  <si>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</si>
  <si>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</si>
  <si>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</si>
  <si>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</si>
  <si>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</si>
  <si>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</si>
  <si>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</si>
  <si>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</si>
  <si>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</si>
  <si>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</si>
  <si>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</si>
  <si>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</si>
  <si>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</si>
  <si>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</si>
  <si>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</si>
  <si>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</si>
  <si>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</si>
  <si>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</si>
  <si>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</si>
  <si>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</si>
  <si>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</si>
  <si>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</si>
  <si>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</si>
  <si>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</si>
  <si>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</si>
  <si>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</si>
  <si>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</si>
  <si>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</si>
  <si>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</si>
  <si>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</si>
  <si>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</si>
  <si>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</si>
  <si>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</si>
  <si>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</si>
  <si>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</si>
  <si>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</si>
  <si>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</si>
  <si>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</si>
  <si>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</si>
  <si>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</si>
  <si>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</si>
  <si>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</si>
  <si>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</si>
  <si>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</si>
  <si>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</si>
  <si>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</si>
  <si>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</si>
  <si>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</si>
  <si>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</si>
  <si>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</si>
  <si>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</si>
  <si>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</si>
  <si>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</si>
  <si>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</si>
  <si>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</si>
  <si>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</si>
  <si>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</si>
  <si>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</si>
  <si>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</si>
  <si>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</si>
  <si>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</si>
  <si>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</si>
  <si>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</si>
  <si>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</si>
  <si>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</si>
  <si>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</si>
  <si>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</si>
  <si>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</si>
  <si>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</si>
  <si>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</si>
  <si>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</si>
  <si>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</si>
  <si>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</si>
  <si>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</si>
  <si>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</si>
  <si>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</si>
  <si>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</si>
  <si>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</si>
  <si>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</si>
  <si>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</si>
  <si>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</si>
  <si>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</si>
  <si>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</si>
  <si>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</si>
  <si>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</si>
  <si>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</si>
  <si>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</si>
  <si>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</si>
  <si>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</si>
  <si>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</si>
  <si>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</si>
  <si>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</si>
  <si>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</si>
  <si>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</si>
  <si>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</si>
  <si>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</si>
  <si>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</si>
  <si>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</si>
  <si>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</si>
  <si>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</si>
  <si>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</si>
  <si>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</si>
  <si>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</si>
  <si>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</si>
  <si>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</si>
  <si>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</si>
  <si>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</si>
  <si>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</si>
  <si>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</si>
  <si>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</si>
  <si>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</si>
  <si>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</si>
  <si>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</si>
  <si>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</si>
  <si>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</si>
  <si>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</si>
  <si>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</si>
  <si>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</si>
  <si>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</si>
  <si>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</si>
  <si>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</si>
  <si>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</si>
  <si>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</si>
  <si>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</si>
  <si>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</si>
  <si>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</si>
  <si>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</si>
  <si>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</si>
  <si>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</si>
  <si>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</si>
  <si>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</si>
  <si>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</si>
  <si>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</si>
  <si>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</si>
  <si>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</si>
  <si>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</si>
  <si>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</si>
  <si>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</si>
  <si>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</si>
  <si>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</si>
  <si>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</si>
  <si>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</si>
  <si>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</si>
  <si>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</si>
  <si>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</si>
  <si>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</si>
  <si>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</si>
  <si>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</si>
  <si>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</si>
  <si>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</si>
  <si>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</si>
  <si>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</si>
  <si>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</si>
  <si>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</si>
  <si>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</si>
  <si>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</si>
  <si>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</si>
  <si>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</si>
  <si>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</si>
  <si>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</si>
  <si>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</si>
  <si>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</si>
  <si>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</si>
  <si>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</si>
  <si>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</si>
  <si>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</si>
  <si>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</si>
  <si>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</si>
  <si>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</si>
  <si>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</si>
  <si>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</si>
  <si>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</si>
  <si>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</si>
  <si>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</si>
  <si>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</si>
  <si>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</si>
  <si>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</si>
  <si>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</si>
  <si>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</si>
  <si>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</si>
  <si>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</si>
  <si>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</si>
  <si>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</si>
  <si>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</si>
  <si>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</si>
  <si>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</si>
  <si>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</si>
  <si>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</si>
  <si>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</si>
  <si>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</si>
  <si>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</si>
  <si>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</si>
  <si>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</si>
  <si>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</si>
  <si>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</si>
  <si>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</si>
  <si>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</si>
  <si>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</si>
  <si>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</si>
  <si>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</si>
  <si>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</si>
  <si>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</si>
  <si>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</si>
  <si>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</si>
  <si>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</si>
  <si>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</si>
  <si>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</si>
  <si>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</si>
  <si>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</si>
  <si>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</si>
  <si>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</si>
  <si>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</si>
  <si>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</si>
  <si>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</si>
  <si>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</si>
  <si>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</si>
  <si>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</si>
  <si>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</si>
  <si>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</si>
  <si>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</si>
  <si>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</si>
  <si>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</si>
  <si>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</si>
  <si>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</si>
  <si>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</si>
  <si>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</si>
  <si>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</si>
  <si>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</si>
  <si>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</si>
  <si>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</si>
  <si>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</si>
  <si>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</si>
  <si>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</si>
  <si>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</si>
  <si>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</si>
  <si>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</si>
  <si>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</si>
  <si>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</si>
  <si>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</si>
  <si>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</si>
  <si>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</si>
  <si>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</si>
  <si>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</si>
  <si>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</si>
  <si>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</si>
  <si>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</si>
  <si>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</si>
  <si>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</si>
  <si>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</si>
  <si>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</si>
  <si>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</si>
  <si>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</si>
  <si>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</si>
  <si>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</si>
  <si>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</si>
  <si>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</si>
  <si>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</si>
  <si>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</si>
  <si>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</si>
  <si>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</si>
  <si>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</si>
  <si>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</si>
  <si>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</si>
  <si>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</si>
  <si>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</si>
  <si>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</si>
  <si>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</si>
  <si>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</si>
  <si>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</si>
  <si>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</si>
  <si>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</si>
  <si>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</si>
  <si>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</si>
  <si>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</si>
  <si>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</si>
  <si>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</si>
  <si>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</si>
  <si>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</si>
  <si>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</si>
  <si>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</si>
  <si>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</si>
  <si>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</si>
  <si>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</si>
  <si>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</si>
  <si>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</si>
  <si>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</si>
  <si>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</si>
  <si>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</si>
  <si>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</si>
  <si>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</si>
  <si>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</si>
  <si>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</si>
  <si>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</si>
  <si>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</si>
  <si>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</si>
  <si>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</si>
  <si>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</si>
  <si>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</si>
  <si>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</si>
  <si>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</si>
  <si>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</si>
  <si>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</si>
  <si>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</si>
  <si>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</si>
  <si>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</si>
  <si>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</si>
  <si>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</si>
  <si>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</si>
  <si>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</si>
  <si>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</si>
  <si>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</si>
  <si>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</si>
  <si>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</si>
  <si>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</si>
  <si>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</si>
  <si>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</si>
  <si>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</si>
  <si>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</si>
  <si>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</si>
  <si>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</si>
  <si>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</si>
  <si>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</si>
  <si>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</si>
  <si>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</si>
  <si>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</si>
  <si>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</si>
  <si>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</si>
  <si>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</si>
  <si>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</si>
  <si>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</si>
  <si>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</si>
  <si>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</si>
  <si>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</si>
  <si>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</si>
  <si>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</si>
  <si>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</si>
  <si>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</si>
  <si>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</si>
  <si>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</si>
  <si>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</si>
  <si>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</si>
  <si>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</si>
  <si>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</si>
  <si>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</si>
  <si>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</si>
  <si>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</si>
  <si>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</si>
  <si>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</si>
  <si>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</si>
  <si>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</si>
  <si>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</si>
  <si>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</si>
  <si>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</si>
  <si>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</si>
  <si>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</si>
  <si>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</si>
  <si>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</si>
  <si>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</si>
  <si>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</si>
  <si>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</si>
  <si>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</si>
  <si>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</si>
  <si>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</si>
  <si>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</si>
  <si>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</si>
  <si>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</si>
  <si>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</si>
  <si>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</si>
  <si>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</si>
  <si>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</si>
  <si>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</si>
  <si>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</si>
  <si>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</si>
  <si>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</si>
  <si>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</si>
  <si>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</si>
  <si>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</si>
  <si>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</si>
  <si>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</si>
  <si>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</si>
  <si>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</si>
  <si>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</si>
  <si>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</si>
  <si>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</si>
  <si>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</si>
  <si>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</si>
  <si>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</si>
  <si>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</si>
  <si>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</si>
  <si>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</si>
  <si>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</si>
  <si>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</si>
  <si>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</si>
  <si>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</si>
  <si>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</si>
  <si>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</si>
  <si>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</si>
  <si>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</si>
  <si>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</si>
  <si>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</si>
  <si>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</si>
  <si>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</si>
  <si>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</si>
  <si>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</si>
  <si>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</si>
  <si>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</si>
  <si>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</si>
  <si>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</si>
  <si>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</si>
  <si>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</si>
  <si>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</si>
  <si>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</si>
  <si>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</si>
  <si>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</si>
  <si>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</si>
  <si>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</si>
  <si>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</si>
  <si>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</si>
  <si>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</si>
  <si>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</si>
  <si>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</si>
  <si>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</si>
  <si>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</si>
  <si>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</si>
  <si>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</si>
  <si>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</si>
  <si>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</si>
  <si>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</si>
  <si>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</si>
  <si>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</si>
  <si>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</si>
  <si>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</si>
  <si>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</si>
  <si>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</si>
  <si>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</si>
  <si>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</si>
  <si>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</si>
  <si>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</si>
  <si>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</si>
  <si>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</si>
  <si>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</si>
  <si>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</si>
  <si>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</si>
  <si>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</si>
  <si>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</si>
  <si>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</si>
  <si>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</si>
  <si>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</si>
  <si>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</si>
  <si>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</si>
  <si>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</si>
  <si>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</si>
  <si>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</si>
  <si>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</si>
  <si>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</si>
  <si>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</si>
  <si>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</si>
  <si>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</si>
  <si>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</si>
  <si>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</si>
  <si>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</si>
  <si>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</si>
  <si>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</si>
  <si>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</si>
  <si>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</si>
  <si>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</si>
  <si>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</si>
  <si>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</si>
  <si>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</si>
  <si>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</si>
  <si>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</si>
  <si>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</si>
  <si>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</si>
  <si>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</si>
  <si>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</si>
  <si>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</si>
  <si>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</si>
  <si>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</si>
  <si>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</si>
  <si>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</si>
  <si>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</si>
  <si>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</si>
  <si>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</si>
  <si>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</si>
  <si>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</si>
  <si>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</si>
  <si>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</si>
  <si>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</si>
  <si>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</si>
  <si>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</si>
  <si>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</si>
  <si>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</si>
  <si>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</si>
  <si>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</si>
  <si>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</si>
  <si>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</si>
  <si>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</si>
  <si>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</si>
  <si>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</si>
  <si>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</si>
  <si>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</si>
  <si>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</si>
  <si>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</si>
  <si>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</si>
  <si>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</si>
  <si>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</si>
  <si>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</si>
  <si>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</si>
  <si>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</si>
  <si>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</si>
  <si>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</si>
  <si>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</si>
  <si>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</si>
  <si>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</si>
  <si>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</si>
  <si>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</si>
  <si>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</si>
  <si>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</si>
  <si>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</si>
  <si>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</si>
  <si>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</si>
  <si>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</si>
  <si>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</si>
  <si>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</si>
  <si>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</si>
  <si>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</si>
  <si>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</si>
  <si>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</si>
  <si>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</si>
  <si>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</si>
  <si>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</si>
  <si>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</si>
  <si>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</si>
  <si>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</si>
  <si>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</si>
  <si>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</si>
  <si>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</si>
  <si>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</si>
  <si>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</si>
  <si>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</si>
  <si>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</si>
  <si>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</si>
  <si>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</si>
  <si>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</si>
  <si>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</si>
  <si>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</si>
  <si>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</si>
  <si>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</si>
  <si>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</si>
  <si>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</si>
  <si>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</si>
  <si>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</si>
  <si>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</si>
  <si>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</si>
  <si>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</si>
  <si>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</si>
  <si>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</si>
  <si>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</si>
  <si>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</si>
  <si>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</si>
  <si>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</si>
  <si>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</si>
  <si>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</si>
  <si>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</si>
  <si>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</si>
  <si>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</si>
  <si>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</si>
  <si>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</si>
  <si>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</si>
  <si>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</si>
  <si>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</si>
  <si>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</si>
  <si>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</si>
  <si>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</si>
  <si>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</si>
  <si>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</si>
  <si>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</si>
  <si>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</si>
  <si>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</si>
  <si>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</si>
  <si>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</si>
  <si>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</si>
  <si>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</si>
  <si>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</si>
  <si>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</si>
  <si>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</si>
  <si>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</si>
  <si>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</si>
  <si>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</si>
  <si>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</si>
  <si>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</si>
  <si>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</si>
  <si>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</si>
  <si>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</si>
  <si>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</si>
  <si>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</si>
  <si>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</si>
  <si>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</si>
  <si>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</si>
  <si>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</si>
  <si>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</si>
  <si>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</si>
  <si>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</si>
  <si>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</si>
  <si>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</si>
  <si>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</si>
  <si>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</si>
  <si>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</si>
  <si>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</si>
  <si>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</si>
  <si>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</si>
  <si>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</si>
  <si>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</si>
  <si>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</si>
  <si>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</si>
  <si>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</si>
  <si>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</si>
  <si>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</si>
  <si>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</si>
  <si>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</si>
  <si>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</si>
  <si>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</si>
  <si>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</si>
  <si>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</si>
  <si>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</si>
  <si>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</si>
  <si>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</si>
  <si>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</si>
  <si>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</si>
  <si>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</si>
  <si>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</si>
  <si>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</si>
  <si>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</si>
  <si>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</si>
  <si>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</si>
  <si>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</si>
  <si>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</si>
  <si>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</si>
  <si>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</si>
  <si>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</si>
  <si>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</si>
  <si>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</si>
  <si>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</si>
  <si>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</si>
  <si>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</si>
  <si>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</si>
  <si>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</si>
  <si>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</si>
  <si>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</si>
  <si>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</si>
  <si>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</si>
  <si>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</si>
  <si>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</si>
  <si>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</si>
  <si>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</si>
  <si>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</si>
  <si>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</si>
  <si>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</si>
  <si>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</si>
  <si>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</si>
  <si>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</si>
  <si>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</si>
  <si>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</si>
  <si>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</si>
  <si>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</si>
  <si>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</si>
  <si>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</si>
  <si>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</si>
  <si>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</si>
  <si>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</si>
  <si>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</si>
  <si>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</si>
  <si>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</si>
  <si>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</si>
  <si>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</si>
  <si>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</si>
  <si>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</si>
  <si>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</si>
  <si>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</si>
  <si>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</si>
  <si>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</si>
  <si>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</si>
  <si>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</si>
  <si>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</si>
  <si>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</si>
  <si>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</si>
  <si>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</si>
  <si>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</si>
  <si>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</si>
  <si>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</si>
  <si>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</si>
  <si>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</si>
  <si>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</si>
  <si>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</si>
  <si>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</si>
  <si>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</si>
  <si>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</si>
  <si>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</si>
  <si>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</si>
  <si>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</si>
  <si>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</si>
  <si>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</si>
  <si>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</si>
  <si>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</si>
  <si>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</si>
  <si>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</si>
  <si>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</si>
  <si>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</si>
  <si>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</si>
  <si>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</si>
  <si>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</si>
  <si>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</si>
  <si>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</si>
  <si>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</si>
  <si>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</si>
  <si>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</si>
  <si>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</si>
  <si>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</si>
  <si>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</si>
  <si>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</si>
  <si>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</si>
  <si>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</si>
  <si>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</si>
  <si>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</si>
  <si>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</si>
  <si>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</si>
  <si>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</si>
  <si>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</si>
  <si>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</si>
  <si>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</si>
  <si>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</si>
  <si>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</si>
  <si>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</si>
  <si>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</si>
  <si>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</si>
  <si>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</si>
  <si>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</si>
  <si>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</si>
  <si>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</si>
  <si>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</si>
  <si>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</si>
  <si>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</si>
  <si>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</si>
  <si>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</si>
  <si>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</si>
  <si>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</si>
  <si>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</si>
  <si>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</si>
  <si>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</si>
  <si>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</si>
  <si>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</si>
  <si>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</si>
  <si>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</si>
  <si>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</si>
  <si>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</si>
  <si>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</si>
  <si>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</si>
  <si>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</si>
  <si>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</si>
  <si>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</si>
  <si>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</si>
  <si>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</si>
  <si>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</si>
  <si>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</si>
  <si>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</si>
  <si>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</si>
  <si>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</si>
  <si>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</si>
  <si>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</si>
  <si>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</si>
  <si>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</si>
  <si>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</si>
  <si>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</si>
  <si>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</si>
  <si>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</si>
  <si>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</si>
  <si>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</si>
  <si>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</si>
  <si>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</si>
  <si>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</si>
  <si>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</si>
  <si>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</si>
  <si>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</si>
  <si>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</si>
  <si>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</si>
  <si>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</si>
  <si>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</si>
  <si>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</si>
  <si>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</si>
  <si>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</si>
  <si>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</si>
  <si>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</si>
  <si>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</si>
  <si>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</si>
  <si>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</si>
  <si>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</si>
  <si>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</si>
  <si>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</si>
  <si>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</si>
  <si>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</si>
  <si>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</si>
  <si>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</si>
  <si>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</si>
  <si>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</si>
  <si>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</si>
  <si>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</si>
  <si>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</si>
  <si>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</si>
  <si>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</si>
  <si>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</si>
  <si>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</si>
  <si>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</si>
  <si>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</si>
  <si>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</si>
  <si>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</si>
  <si>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</si>
  <si>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</si>
  <si>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</si>
  <si>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</si>
  <si>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</si>
  <si>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</si>
  <si>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</si>
  <si>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</si>
  <si>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</si>
  <si>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</si>
  <si>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</si>
  <si>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</si>
  <si>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</si>
  <si>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</si>
  <si>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</si>
  <si>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</si>
  <si>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</si>
  <si>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</si>
  <si>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</si>
  <si>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</si>
  <si>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</si>
  <si>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</si>
  <si>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</si>
  <si>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</si>
  <si>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</si>
  <si>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</si>
  <si>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</si>
  <si>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</si>
  <si>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</si>
  <si>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</si>
  <si>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</si>
  <si>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</si>
  <si>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</si>
  <si>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</si>
  <si>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</si>
  <si>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</si>
  <si>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</si>
  <si>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</si>
  <si>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</si>
  <si>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</si>
  <si>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</si>
  <si>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</si>
  <si>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</si>
  <si>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</si>
  <si>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</si>
  <si>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</si>
  <si>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</si>
  <si>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</si>
  <si>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</si>
  <si>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</si>
  <si>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</si>
  <si>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</si>
  <si>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</si>
  <si>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</si>
  <si>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</si>
  <si>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</si>
  <si>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</si>
  <si>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</si>
  <si>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</si>
  <si>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</si>
  <si>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</si>
  <si>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</si>
  <si>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</si>
  <si>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</si>
  <si>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</si>
  <si>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</si>
  <si>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</si>
  <si>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</si>
  <si>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</si>
  <si>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</si>
  <si>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</si>
  <si>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</si>
  <si>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</si>
  <si>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</si>
  <si>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</si>
  <si>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</si>
  <si>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</si>
  <si>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</si>
  <si>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</si>
  <si>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</si>
  <si>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</si>
  <si>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</si>
  <si>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</si>
  <si>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</si>
  <si>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</si>
  <si>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</si>
  <si>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</si>
  <si>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</si>
  <si>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</si>
  <si>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</si>
  <si>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</si>
  <si>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</si>
  <si>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</si>
  <si>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</si>
  <si>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</si>
  <si>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</si>
  <si>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</si>
  <si>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</si>
  <si>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</si>
  <si>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</si>
  <si>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</si>
  <si>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</si>
  <si>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</si>
  <si>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</si>
  <si>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</si>
  <si>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</si>
  <si>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</si>
  <si>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</si>
  <si>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</si>
  <si>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</si>
  <si>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</si>
  <si>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</si>
  <si>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</si>
  <si>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</si>
  <si>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</si>
  <si>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</si>
  <si>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</si>
  <si>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</si>
  <si>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</si>
  <si>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</si>
  <si>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</si>
  <si>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</si>
  <si>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</si>
  <si>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</si>
  <si>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</si>
  <si>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</si>
  <si>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</si>
  <si>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</si>
  <si>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</si>
  <si>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</si>
  <si>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</si>
  <si>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</si>
  <si>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</si>
  <si>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</si>
  <si>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</si>
  <si>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</si>
  <si>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</si>
  <si>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</si>
  <si>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</si>
  <si>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</si>
  <si>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</si>
  <si>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</si>
  <si>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</si>
  <si>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</si>
  <si>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</si>
  <si>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</si>
  <si>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</si>
  <si>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</si>
  <si>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</si>
  <si>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</si>
  <si>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</si>
  <si>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</si>
  <si>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</si>
  <si>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</si>
  <si>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</si>
  <si>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</si>
  <si>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</si>
  <si>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</si>
  <si>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</si>
  <si>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</si>
  <si>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</si>
  <si>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</si>
  <si>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</si>
  <si>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</si>
  <si>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</si>
  <si>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</si>
  <si>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</si>
  <si>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</si>
  <si>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</si>
  <si>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</si>
  <si>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</si>
  <si>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</si>
  <si>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</si>
  <si>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</si>
  <si>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</si>
  <si>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</si>
  <si>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</si>
  <si>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</si>
  <si>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</si>
  <si>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</si>
  <si>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</si>
  <si>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</si>
  <si>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</si>
  <si>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</si>
  <si>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</si>
  <si>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</si>
  <si>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</si>
  <si>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</si>
  <si>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</si>
  <si>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</si>
  <si>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</si>
  <si>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</si>
  <si>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</si>
  <si>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</si>
  <si>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</si>
  <si>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</si>
  <si>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</si>
  <si>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</si>
  <si>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</si>
  <si>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</si>
  <si>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</si>
  <si>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</si>
  <si>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</si>
  <si>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</si>
  <si>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</si>
  <si>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</si>
  <si>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</si>
  <si>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</si>
  <si>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</si>
  <si>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</si>
  <si>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</si>
  <si>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</si>
  <si>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</si>
  <si>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</si>
  <si>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</si>
  <si>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</si>
  <si>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</si>
  <si>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</si>
  <si>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</si>
  <si>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</si>
  <si>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</si>
  <si>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</si>
  <si>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</si>
  <si>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</si>
  <si>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</si>
  <si>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</si>
  <si>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</si>
  <si>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</si>
  <si>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</si>
  <si>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</si>
  <si>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</si>
  <si>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</si>
  <si>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</si>
  <si>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</si>
  <si>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</si>
  <si>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</si>
  <si>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</si>
  <si>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</si>
  <si>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</si>
  <si>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</si>
  <si>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</si>
  <si>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</si>
  <si>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</si>
  <si>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</si>
  <si>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</si>
  <si>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</si>
  <si>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</si>
  <si>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</si>
  <si>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</si>
  <si>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</si>
  <si>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</si>
  <si>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</si>
  <si>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</si>
  <si>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</si>
  <si>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</si>
  <si>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</si>
  <si>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</si>
  <si>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</si>
  <si>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</si>
  <si>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</si>
  <si>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</si>
  <si>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</si>
  <si>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</si>
  <si>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</si>
  <si>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</si>
  <si>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</si>
  <si>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</si>
  <si>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</si>
  <si>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</si>
  <si>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</si>
  <si>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</si>
  <si>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</si>
  <si>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</si>
  <si>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</si>
  <si>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</si>
  <si>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</si>
  <si>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</si>
  <si>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</si>
  <si>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</si>
  <si>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</si>
  <si>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</si>
  <si>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</si>
  <si>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</si>
  <si>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</si>
  <si>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</si>
  <si>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</si>
  <si>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</si>
  <si>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</si>
  <si>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</si>
  <si>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</si>
  <si>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</si>
  <si>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</si>
  <si>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</si>
  <si>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</si>
  <si>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</si>
  <si>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</si>
  <si>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</si>
  <si>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</si>
  <si>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</si>
  <si>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</si>
  <si>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</si>
  <si>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</si>
  <si>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</si>
  <si>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</si>
  <si>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</si>
  <si>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</si>
  <si>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</si>
  <si>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</si>
  <si>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</si>
  <si>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</si>
  <si>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</si>
  <si>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</si>
  <si>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</si>
  <si>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</si>
  <si>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</si>
  <si>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</si>
  <si>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</si>
  <si>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</si>
  <si>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</si>
  <si>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</si>
  <si>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</si>
  <si>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</si>
  <si>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</si>
  <si>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</si>
  <si>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</si>
  <si>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</si>
  <si>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</si>
  <si>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</si>
  <si>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</si>
  <si>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</si>
  <si>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</si>
  <si>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</si>
  <si>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</si>
  <si>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</si>
  <si>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</si>
  <si>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</si>
  <si>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</si>
  <si>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</si>
  <si>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</si>
  <si>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</si>
  <si>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</si>
  <si>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</si>
  <si>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</si>
  <si>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</si>
  <si>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</si>
  <si>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</si>
  <si>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</si>
  <si>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</si>
  <si>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</si>
  <si>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</si>
  <si>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</si>
  <si>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</si>
  <si>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</si>
  <si>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</si>
  <si>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</si>
  <si>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</si>
  <si>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</si>
  <si>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</si>
  <si>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</si>
  <si>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</si>
  <si>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</si>
  <si>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</si>
  <si>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</si>
  <si>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</si>
  <si>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</si>
  <si>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</si>
  <si>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</si>
  <si>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</si>
  <si>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</si>
  <si>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</si>
  <si>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</si>
  <si>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</si>
  <si>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</si>
  <si>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</si>
  <si>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</si>
  <si>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</si>
  <si>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</si>
  <si>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</si>
  <si>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</si>
  <si>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</si>
  <si>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</si>
  <si>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</si>
  <si>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</si>
  <si>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</si>
  <si>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</si>
  <si>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</si>
  <si>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</si>
  <si>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</si>
  <si>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</si>
  <si>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</si>
  <si>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</si>
  <si>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</si>
  <si>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</si>
  <si>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</si>
  <si>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</si>
  <si>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</si>
  <si>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</si>
  <si>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</si>
  <si>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</si>
  <si>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</si>
  <si>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</si>
  <si>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</si>
  <si>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</si>
  <si>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</si>
  <si>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</si>
  <si>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</si>
  <si>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</si>
  <si>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</si>
  <si>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</si>
  <si>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</si>
  <si>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</si>
  <si>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</si>
  <si>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</si>
  <si>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</si>
  <si>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</si>
  <si>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</si>
  <si>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</si>
  <si>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</si>
  <si>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</si>
  <si>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</si>
  <si>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</si>
  <si>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</si>
  <si>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</si>
  <si>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</si>
  <si>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</si>
  <si>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</si>
  <si>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</si>
  <si>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</si>
  <si>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4487 N. Dresden Place, Ste. 101</t>
  </si>
  <si>
    <t>Boise, ID 83714</t>
  </si>
  <si>
    <t>Marshall Bratton</t>
  </si>
  <si>
    <t>208.375.6490</t>
  </si>
  <si>
    <t>208.375.6593</t>
  </si>
  <si>
    <t>marshall@gbbaccounting.com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</si>
  <si>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</si>
  <si>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</si>
  <si>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</si>
  <si>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</si>
  <si>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</si>
  <si>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</si>
  <si>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</si>
  <si>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</si>
  <si>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</si>
  <si>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</si>
  <si>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</si>
  <si>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</si>
  <si>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</si>
  <si>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</si>
  <si>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</si>
  <si>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</si>
  <si>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</si>
  <si>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</si>
  <si>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</si>
  <si>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</si>
  <si>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</si>
  <si>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</si>
  <si>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</si>
  <si>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</si>
  <si>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</si>
  <si>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</si>
  <si>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</si>
  <si>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</si>
  <si>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</si>
  <si>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</si>
  <si>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</si>
  <si>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</si>
  <si>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</si>
  <si>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</si>
  <si>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</si>
  <si>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</si>
  <si>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</si>
  <si>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</si>
  <si>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</si>
  <si>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</si>
  <si>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</si>
  <si>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</si>
  <si>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</si>
  <si>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</si>
  <si>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</si>
  <si>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</si>
  <si>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</si>
  <si>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</si>
  <si>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</si>
  <si>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</si>
  <si>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</si>
  <si>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</si>
  <si>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</si>
  <si>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</si>
  <si>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</si>
  <si>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</si>
  <si>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</si>
  <si>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</si>
  <si>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</si>
  <si>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</si>
  <si>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Bonneville Multifamily Capital - Recycled Tax-Exempt Bonds</t>
  </si>
  <si>
    <t>0 Parking spaces required (State Density Bonus Law)</t>
  </si>
  <si>
    <t>San Leandro Bay Fair Associates, a California Limited Partnership</t>
  </si>
  <si>
    <t>Bay Fair Apartments</t>
  </si>
  <si>
    <t>City of San Leandro</t>
  </si>
  <si>
    <t>Janelle Cameron</t>
  </si>
  <si>
    <t>City Manager</t>
  </si>
  <si>
    <t>835 East 14th Street</t>
  </si>
  <si>
    <t>San Leandro</t>
  </si>
  <si>
    <t>510.577.3390</t>
  </si>
  <si>
    <t>jcameron@sanleandro.org</t>
  </si>
  <si>
    <t>15693 E. 14th Street</t>
  </si>
  <si>
    <t>4338.02 &amp; 4331.02</t>
  </si>
  <si>
    <t>080C-0500-005-1; 080C-0500-031-2; 080C-0500-032 &amp;
080C-0500-033</t>
  </si>
  <si>
    <t>Redwood Energy</t>
  </si>
  <si>
    <t>1887 Q Street</t>
  </si>
  <si>
    <t>Arcata, CA 95521</t>
  </si>
  <si>
    <t>Sean Armstrong</t>
  </si>
  <si>
    <t>707.826.1450</t>
  </si>
  <si>
    <t>sean@redwoodenergy.net</t>
  </si>
  <si>
    <t>San Leandro TOD Holdings, LLC</t>
  </si>
  <si>
    <t>Two five-story on-grade residential buildings (Type III construction).</t>
  </si>
  <si>
    <t>Common areas / community spaces included within both residential buildings.</t>
  </si>
  <si>
    <t xml:space="preserve">Bay Fair Transit-Oriented Development </t>
  </si>
  <si>
    <t>Bay Fair Transit-Oriented Development (B-TOD) / 481 units max.</t>
  </si>
  <si>
    <t>Affordability restrictions due to density bonus. Minimum of 77
units must be available for very low-income households.</t>
  </si>
  <si>
    <t>90' Maximum</t>
  </si>
  <si>
    <t>Housing Authority of the County of Alameda (*no tenant allowance for water heating because of central electric boiler)</t>
  </si>
  <si>
    <t>40%/60% Average Income</t>
  </si>
  <si>
    <t>Manager</t>
  </si>
  <si>
    <t>San Leandro Bay Fair Assoc.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</si>
</sst>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2344</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2345</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2572</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2346</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2501</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2347</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2578</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2496</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2354</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2355</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659</v>
      </c>
      <c r="F42" s="1266" t="s">
        <v>1267</v>
      </c>
    </row>
    <row r="43" spans="1:38" s="1266"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2349</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8" t="s">
        <v>1294</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8" t="s">
        <v>2350</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6" t="s">
        <v>1269</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516</v>
      </c>
      <c r="G69" s="1266" t="s">
        <v>1270</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6" t="s">
        <v>1271</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1272</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1273</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1274</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75" t="s">
        <v>1275</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1276</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6" t="s">
        <v>1277</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1278</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6" t="s">
        <v>1279</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6" t="s">
        <v>1254</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8" t="s">
        <v>1339</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1341</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1340</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69" t="s">
        <v>1330</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1363</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1374</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7" t="s">
        <v>2408</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8" customHeight="1">
      <c r="A2" s="2230" t="s">
        <v>2455</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233" t="str">
        <f>IF(Application!H18="","",Application!H18)</f>
        <v>Bay Fair Apartments</v>
      </c>
      <c r="M4" s="2234"/>
      <c r="N4" s="2234"/>
      <c r="O4" s="2234"/>
      <c r="P4" s="2234"/>
      <c r="Q4" s="2234"/>
      <c r="R4" s="2234"/>
      <c r="S4" s="2234"/>
      <c r="T4" s="2234"/>
      <c r="U4" s="2234"/>
      <c r="V4" s="2234"/>
      <c r="W4" s="2234"/>
      <c r="X4" s="2234"/>
      <c r="Y4" s="2234"/>
      <c r="Z4" s="2234"/>
      <c r="AA4" s="2234"/>
      <c r="AB4" s="2234"/>
      <c r="AC4" s="2235"/>
      <c r="AD4" s="1206"/>
      <c r="AE4" s="1206"/>
      <c r="AF4" s="2236" t="s">
        <v>2456</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2457</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233" t="str">
        <f>IF(Application!H16="","",Application!H16)</f>
        <v>San Leandro Bay Fair Associates, a California Limited Partnership</v>
      </c>
      <c r="M6" s="2234"/>
      <c r="N6" s="2234"/>
      <c r="O6" s="2234"/>
      <c r="P6" s="2234"/>
      <c r="Q6" s="2234"/>
      <c r="R6" s="2234"/>
      <c r="S6" s="2234"/>
      <c r="T6" s="2234"/>
      <c r="U6" s="2234"/>
      <c r="V6" s="2234"/>
      <c r="W6" s="2234"/>
      <c r="X6" s="2234"/>
      <c r="Y6" s="2234"/>
      <c r="Z6" s="2234"/>
      <c r="AA6" s="2234"/>
      <c r="AB6" s="2234"/>
      <c r="AC6" s="2235"/>
      <c r="AD6" s="1206"/>
      <c r="AE6" s="1206"/>
      <c r="AF6" s="2239" t="s">
        <v>2458</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2459</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2460</v>
      </c>
      <c r="AG8" s="2239"/>
      <c r="AH8" s="2239"/>
      <c r="AI8" s="2239"/>
      <c r="AJ8" s="2239"/>
      <c r="AK8" s="2239"/>
      <c r="AL8" s="2239"/>
      <c r="AM8" s="2239"/>
      <c r="AN8" s="2239"/>
      <c r="AO8" s="2239"/>
      <c r="AP8" s="2226" t="s">
        <v>2412</v>
      </c>
      <c r="AQ8" s="2226"/>
      <c r="AR8" s="2226"/>
      <c r="AS8" s="2226"/>
      <c r="AT8" s="2226"/>
      <c r="AU8" s="2226"/>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2618</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251">
        <f>Application!AO627</f>
        <v>71000000</v>
      </c>
      <c r="O10" s="2251"/>
      <c r="P10" s="2251"/>
      <c r="Q10" s="2251"/>
      <c r="R10" s="2251"/>
      <c r="S10" s="2251"/>
      <c r="T10" s="2251"/>
      <c r="U10" s="1206"/>
      <c r="V10" s="1206"/>
      <c r="W10" s="1206"/>
      <c r="X10" s="1255"/>
      <c r="Y10" s="1255"/>
      <c r="Z10" s="1255"/>
      <c r="AA10" s="1255"/>
      <c r="AB10" s="1255"/>
      <c r="AC10" s="1255"/>
      <c r="AD10" s="1255"/>
      <c r="AE10" s="1255"/>
      <c r="AF10" s="2236" t="s">
        <v>2617</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2616</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258" t="s">
        <v>1789</v>
      </c>
      <c r="C13" s="2259"/>
      <c r="D13" s="2259"/>
      <c r="E13" s="2259"/>
      <c r="F13" s="2259"/>
      <c r="G13" s="2259"/>
      <c r="H13" s="2259"/>
      <c r="I13" s="2259"/>
      <c r="J13" s="2259"/>
      <c r="K13" s="2259"/>
      <c r="L13" s="2259"/>
      <c r="M13" s="2259"/>
      <c r="N13" s="2259"/>
      <c r="O13" s="2259"/>
      <c r="P13" s="2260"/>
      <c r="Q13" s="2261" t="s">
        <v>675</v>
      </c>
      <c r="R13" s="2262"/>
      <c r="S13" s="2262"/>
      <c r="T13" s="2263"/>
      <c r="U13" s="1255"/>
      <c r="V13" s="1206"/>
      <c r="W13" s="1206"/>
      <c r="X13" s="1206"/>
      <c r="Y13" s="1206"/>
      <c r="Z13" s="1206"/>
      <c r="AA13" s="2252" t="s">
        <v>2462</v>
      </c>
      <c r="AB13" s="2252"/>
      <c r="AC13" s="2252"/>
      <c r="AD13" s="2252"/>
      <c r="AE13" s="2252"/>
      <c r="AF13" s="2252"/>
      <c r="AG13" s="2252"/>
      <c r="AH13" s="2252"/>
      <c r="AI13" s="2252"/>
      <c r="AJ13" s="2252"/>
      <c r="AK13" s="2252"/>
      <c r="AL13" s="2252"/>
      <c r="AM13" s="2252"/>
      <c r="AN13" s="2252"/>
      <c r="AO13" s="2253">
        <f>Application!W473</f>
        <v>73</v>
      </c>
      <c r="AP13" s="2254"/>
      <c r="AQ13" s="2254"/>
      <c r="AR13" s="2254"/>
      <c r="AS13" s="2254"/>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2464</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ht="15.05" thickBot="1">
      <c r="A15" s="1206"/>
      <c r="B15" s="2264" t="s">
        <v>1790</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2465</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9" t="s">
        <v>1791</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8" customHeight="1">
      <c r="A18" s="1206"/>
      <c r="B18" s="2272" t="s">
        <v>1792</v>
      </c>
      <c r="C18" s="2273"/>
      <c r="D18" s="2273"/>
      <c r="E18" s="2273"/>
      <c r="F18" s="2273"/>
      <c r="G18" s="2273"/>
      <c r="H18" s="2273"/>
      <c r="I18" s="2274"/>
      <c r="J18" s="2275" t="s">
        <v>1693</v>
      </c>
      <c r="K18" s="2276"/>
      <c r="L18" s="2276"/>
      <c r="M18" s="2276"/>
      <c r="N18" s="2276"/>
      <c r="O18" s="2277"/>
      <c r="P18" s="2275" t="s">
        <v>324</v>
      </c>
      <c r="Q18" s="2276"/>
      <c r="R18" s="2276"/>
      <c r="S18" s="2276"/>
      <c r="T18" s="2276"/>
      <c r="U18" s="2277"/>
      <c r="V18" s="2275" t="s">
        <v>325</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1793</v>
      </c>
      <c r="AU18" s="2276"/>
      <c r="AV18" s="2276"/>
      <c r="AW18" s="2276"/>
      <c r="AX18" s="2276"/>
      <c r="AY18" s="2278"/>
      <c r="AZ18" s="1206"/>
      <c r="BA18" s="1206"/>
      <c r="BB18" s="1206"/>
      <c r="BC18" s="1206"/>
      <c r="BD18" s="1206"/>
      <c r="BE18" s="1202"/>
    </row>
    <row r="19" spans="1:58" ht="14.5">
      <c r="A19" s="1206"/>
      <c r="B19" s="2279">
        <v>0.3</v>
      </c>
      <c r="C19" s="2280"/>
      <c r="D19" s="2280"/>
      <c r="E19" s="2280"/>
      <c r="F19" s="2280"/>
      <c r="G19" s="2280"/>
      <c r="H19" s="2280"/>
      <c r="I19" s="2281"/>
      <c r="J19" s="2282">
        <f t="shared" ref="J19:J28" si="0">SUM(P19:AS19)</f>
        <v>50</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50</v>
      </c>
      <c r="W19" s="2283"/>
      <c r="X19" s="2283"/>
      <c r="Y19" s="2283"/>
      <c r="Z19" s="2283"/>
      <c r="AA19" s="2284"/>
      <c r="AB19" s="2282" cm="1">
        <f t="array" ref="AB19">SUMPRODUCT((Application!$B$714:$B$738 = 'CalHFA Addendum'!AB$18)*(Application!$AC$714:$AC$738 = 'CalHFA Addendum'!$B19),Application!$G$714:$G$738)</f>
        <v>0</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0.10504201680672269</v>
      </c>
      <c r="AU19" s="2286"/>
      <c r="AV19" s="2286"/>
      <c r="AW19" s="2286"/>
      <c r="AX19" s="2286"/>
      <c r="AY19" s="2287"/>
      <c r="AZ19" s="1217"/>
      <c r="BA19" s="1206"/>
      <c r="BB19" s="1206"/>
      <c r="BC19" s="1206"/>
      <c r="BD19" s="1206"/>
      <c r="BE19" s="1202"/>
    </row>
    <row r="20" spans="1:58" ht="15.0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4.5">
      <c r="A21" s="1206"/>
      <c r="B21" s="2279">
        <v>0.5</v>
      </c>
      <c r="C21" s="2280"/>
      <c r="D21" s="2280"/>
      <c r="E21" s="2280"/>
      <c r="F21" s="2280"/>
      <c r="G21" s="2280"/>
      <c r="H21" s="2280"/>
      <c r="I21" s="2281"/>
      <c r="J21" s="2282">
        <f t="shared" si="0"/>
        <v>50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50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0.10504201680672269</v>
      </c>
      <c r="AU21" s="2286"/>
      <c r="AV21" s="2286"/>
      <c r="AW21" s="2286"/>
      <c r="AX21" s="2286"/>
      <c r="AY21" s="2287"/>
      <c r="AZ21" s="1206"/>
      <c r="BA21" s="1206"/>
      <c r="BB21" s="1206"/>
      <c r="BC21" s="1206"/>
      <c r="BD21" s="1206"/>
      <c r="BE21" s="1202"/>
    </row>
    <row r="22" spans="1:58" ht="14.5">
      <c r="A22" s="1206"/>
      <c r="B22" s="2279">
        <v>0.6</v>
      </c>
      <c r="C22" s="2280"/>
      <c r="D22" s="2280"/>
      <c r="E22" s="2280"/>
      <c r="F22" s="2280"/>
      <c r="G22" s="2280"/>
      <c r="H22" s="2280"/>
      <c r="I22" s="2281"/>
      <c r="J22" s="2282">
        <f t="shared" si="0"/>
        <v>180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180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0.37815126050420167</v>
      </c>
      <c r="AU22" s="2286"/>
      <c r="AV22" s="2286"/>
      <c r="AW22" s="2286"/>
      <c r="AX22" s="2286"/>
      <c r="AY22" s="2287"/>
      <c r="AZ22" s="1206"/>
      <c r="BA22" s="1206"/>
      <c r="BB22" s="1206"/>
      <c r="BC22" s="1206"/>
      <c r="BD22" s="1206"/>
      <c r="BE22" s="1202"/>
    </row>
    <row r="23" spans="1:58" ht="14.5">
      <c r="A23" s="1206"/>
      <c r="B23" s="2279">
        <v>0.7</v>
      </c>
      <c r="C23" s="2280"/>
      <c r="D23" s="2280"/>
      <c r="E23" s="2280"/>
      <c r="F23" s="2280"/>
      <c r="G23" s="2280"/>
      <c r="H23" s="2280"/>
      <c r="I23" s="2281"/>
      <c r="J23" s="2282">
        <f t="shared" si="0"/>
        <v>196</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196</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0.41176470588235292</v>
      </c>
      <c r="AU23" s="2286"/>
      <c r="AV23" s="2286"/>
      <c r="AW23" s="2286"/>
      <c r="AX23" s="2286"/>
      <c r="AY23" s="2287"/>
      <c r="AZ23" s="1206"/>
      <c r="BA23" s="1206"/>
      <c r="BB23" s="1206"/>
      <c r="BC23" s="1206"/>
      <c r="BD23" s="1206"/>
      <c r="BE23" s="1202"/>
    </row>
    <row r="24" spans="1:58" ht="14.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4.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4.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4.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ht="15.05" thickBot="1">
      <c r="A28" s="1206"/>
      <c r="B28" s="2298" t="s">
        <v>1794</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ht="15.05" thickBot="1">
      <c r="A29" s="1206"/>
      <c r="B29" s="2313" t="s">
        <v>1693</v>
      </c>
      <c r="C29" s="2314"/>
      <c r="D29" s="2314"/>
      <c r="E29" s="2314"/>
      <c r="F29" s="2314"/>
      <c r="G29" s="2314"/>
      <c r="H29" s="2314"/>
      <c r="I29" s="2315"/>
      <c r="J29" s="2316">
        <f>SUM(J19:O28)</f>
        <v>476</v>
      </c>
      <c r="K29" s="2314"/>
      <c r="L29" s="2314"/>
      <c r="M29" s="2314"/>
      <c r="N29" s="2314"/>
      <c r="O29" s="2315"/>
      <c r="P29" s="2316">
        <f>SUM(P19:U28)</f>
        <v>0</v>
      </c>
      <c r="Q29" s="2314"/>
      <c r="R29" s="2314"/>
      <c r="S29" s="2314"/>
      <c r="T29" s="2314"/>
      <c r="U29" s="2315"/>
      <c r="V29" s="2316">
        <f>SUM(V19:AA28)</f>
        <v>476</v>
      </c>
      <c r="W29" s="2314"/>
      <c r="X29" s="2314"/>
      <c r="Y29" s="2314"/>
      <c r="Z29" s="2314"/>
      <c r="AA29" s="2315"/>
      <c r="AB29" s="2316">
        <f>SUM(AB19:AG28)</f>
        <v>0</v>
      </c>
      <c r="AC29" s="2314"/>
      <c r="AD29" s="2314"/>
      <c r="AE29" s="2314"/>
      <c r="AF29" s="2314"/>
      <c r="AG29" s="2315"/>
      <c r="AH29" s="2316">
        <f>SUM(AH19:AM28)</f>
        <v>0</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21" t="s">
        <v>1795</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ht="15.05" thickBot="1">
      <c r="A32" s="1206"/>
      <c r="B32" s="2336" t="s">
        <v>2468</v>
      </c>
      <c r="C32" s="2337"/>
      <c r="D32" s="2337"/>
      <c r="E32" s="2337"/>
      <c r="F32" s="2337"/>
      <c r="G32" s="2337"/>
      <c r="H32" s="2337"/>
      <c r="I32" s="2337"/>
      <c r="J32" s="2307" t="s">
        <v>2469</v>
      </c>
      <c r="K32" s="2308"/>
      <c r="L32" s="2308"/>
      <c r="M32" s="2308"/>
      <c r="N32" s="2307" t="s">
        <v>1796</v>
      </c>
      <c r="O32" s="2308"/>
      <c r="P32" s="2308"/>
      <c r="Q32" s="2310"/>
      <c r="R32" s="2330" t="s">
        <v>1797</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05" customHeight="1">
      <c r="A33" s="1206"/>
      <c r="B33" s="2338"/>
      <c r="C33" s="2339"/>
      <c r="D33" s="2339"/>
      <c r="E33" s="2339"/>
      <c r="F33" s="2339"/>
      <c r="G33" s="2339"/>
      <c r="H33" s="2339"/>
      <c r="I33" s="2339"/>
      <c r="J33" s="2309"/>
      <c r="K33" s="2309"/>
      <c r="L33" s="2309"/>
      <c r="M33" s="2309"/>
      <c r="N33" s="2309"/>
      <c r="O33" s="2309"/>
      <c r="P33" s="2309"/>
      <c r="Q33" s="2311"/>
      <c r="R33" s="2324" t="s">
        <v>1798</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8"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8"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1799</v>
      </c>
      <c r="AT35" s="2295"/>
      <c r="AU35" s="2295"/>
      <c r="AV35" s="2295"/>
      <c r="AW35" s="2295"/>
      <c r="AX35" s="2296"/>
      <c r="AY35" s="2294" t="s">
        <v>1800</v>
      </c>
      <c r="AZ35" s="2295"/>
      <c r="BA35" s="2295"/>
      <c r="BB35" s="2295"/>
      <c r="BC35" s="2295"/>
      <c r="BD35" s="2297"/>
      <c r="BE35" s="1202"/>
    </row>
    <row r="36" spans="1:58" ht="15.8" customHeight="1">
      <c r="A36" s="1206"/>
      <c r="B36" s="2317" t="s">
        <v>1801</v>
      </c>
      <c r="C36" s="2318"/>
      <c r="D36" s="2318"/>
      <c r="E36" s="2318"/>
      <c r="F36" s="2318"/>
      <c r="G36" s="2318"/>
      <c r="H36" s="2318"/>
      <c r="I36" s="2318"/>
      <c r="J36" s="2319" t="s">
        <v>1802</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0.10504201680672269</v>
      </c>
      <c r="AZ36" s="2347"/>
      <c r="BA36" s="2347"/>
      <c r="BB36" s="2347"/>
      <c r="BC36" s="2347"/>
      <c r="BD36" s="2348"/>
      <c r="BE36" s="1202"/>
    </row>
    <row r="37" spans="1:58" ht="15.8" customHeight="1">
      <c r="A37" s="1206"/>
      <c r="B37" s="2317" t="s">
        <v>2470</v>
      </c>
      <c r="C37" s="2318"/>
      <c r="D37" s="2318"/>
      <c r="E37" s="2318"/>
      <c r="F37" s="2318"/>
      <c r="G37" s="2318"/>
      <c r="H37" s="2318"/>
      <c r="I37" s="2318"/>
      <c r="J37" s="2319" t="s">
        <v>1803</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2.100840336134454E-2</v>
      </c>
      <c r="AZ37" s="2347"/>
      <c r="BA37" s="2347"/>
      <c r="BB37" s="2347"/>
      <c r="BC37" s="2347"/>
      <c r="BD37" s="2348"/>
      <c r="BE37" s="1202"/>
    </row>
    <row r="38" spans="1:58" ht="15.8" customHeight="1">
      <c r="A38" s="1206"/>
      <c r="B38" s="2317" t="s">
        <v>2409</v>
      </c>
      <c r="C38" s="2318"/>
      <c r="D38" s="2318"/>
      <c r="E38" s="2318"/>
      <c r="F38" s="2318"/>
      <c r="G38" s="2318"/>
      <c r="H38" s="2318"/>
      <c r="I38" s="2318"/>
      <c r="J38" s="2319" t="s">
        <v>1804</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8" customHeight="1">
      <c r="A39" s="1206"/>
      <c r="B39" s="2317" t="s">
        <v>1805</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8" customHeight="1">
      <c r="A40" s="1206"/>
      <c r="B40" s="2317" t="s">
        <v>1805</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8" customHeight="1">
      <c r="A41" s="1206"/>
      <c r="B41" s="2317" t="s">
        <v>1806</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8" customHeight="1">
      <c r="A42" s="1206"/>
      <c r="B42" s="2317" t="s">
        <v>1806</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8" customHeight="1">
      <c r="A43" s="1206"/>
      <c r="B43" s="2349" t="s">
        <v>1807</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8" customHeight="1">
      <c r="A44" s="1206"/>
      <c r="B44" s="2349" t="s">
        <v>1808</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8" customHeight="1">
      <c r="A45" s="1206"/>
      <c r="B45" s="2349" t="s">
        <v>1809</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8" customHeight="1">
      <c r="A46" s="1206"/>
      <c r="B46" s="2349" t="s">
        <v>1810</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8" customHeight="1" thickBot="1">
      <c r="A47" s="1206"/>
      <c r="B47" s="2363" t="s">
        <v>300</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7" t="s">
        <v>1811</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2" t="s">
        <v>1812</v>
      </c>
      <c r="C51" s="2203"/>
      <c r="D51" s="2203"/>
      <c r="E51" s="2203"/>
      <c r="F51" s="2203"/>
      <c r="G51" s="2203"/>
      <c r="H51" s="2203"/>
      <c r="I51" s="2203"/>
      <c r="J51" s="2203" t="s">
        <v>2472</v>
      </c>
      <c r="K51" s="2203"/>
      <c r="L51" s="2203"/>
      <c r="M51" s="2203"/>
      <c r="N51" s="2203"/>
      <c r="O51" s="2203"/>
      <c r="P51" s="2203"/>
      <c r="Q51" s="2203"/>
      <c r="R51" s="2360" t="s">
        <v>2473</v>
      </c>
      <c r="S51" s="2360"/>
      <c r="T51" s="2360"/>
      <c r="U51" s="2360"/>
      <c r="V51" s="2360"/>
      <c r="W51" s="2360"/>
      <c r="X51" s="2360"/>
      <c r="Y51" s="2360"/>
      <c r="Z51" s="2360" t="s">
        <v>1813</v>
      </c>
      <c r="AA51" s="2360"/>
      <c r="AB51" s="2360"/>
      <c r="AC51" s="2360"/>
      <c r="AD51" s="2360"/>
      <c r="AE51" s="2360"/>
      <c r="AF51" s="2360"/>
      <c r="AG51" s="2360"/>
      <c r="AH51" s="2360" t="s">
        <v>1814</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49" t="s">
        <v>2180</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49" t="s">
        <v>2181</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2" t="s">
        <v>1693</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4" t="s">
        <v>1812</v>
      </c>
      <c r="C59" s="2385"/>
      <c r="D59" s="2385"/>
      <c r="E59" s="2385"/>
      <c r="F59" s="2385"/>
      <c r="G59" s="2385"/>
      <c r="H59" s="2385"/>
      <c r="I59" s="2386"/>
      <c r="J59" s="2270" t="s">
        <v>2474</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8"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8"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8"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8"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8"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69" t="s">
        <v>1816</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1817</v>
      </c>
      <c r="AD68" s="2463"/>
      <c r="AE68" s="2463"/>
      <c r="AF68" s="2463"/>
      <c r="AG68" s="2463"/>
      <c r="AH68" s="2463"/>
      <c r="AI68" s="2463"/>
      <c r="AJ68" s="2463"/>
      <c r="AK68" s="2463"/>
      <c r="AL68" s="2463"/>
      <c r="AM68" s="2463"/>
      <c r="AN68" s="2463"/>
      <c r="AO68" s="2463"/>
      <c r="AP68" s="2463"/>
      <c r="AQ68" s="2463"/>
      <c r="AR68" s="2463"/>
      <c r="AS68" s="2463"/>
      <c r="AT68" s="2463"/>
      <c r="AU68" s="2463"/>
      <c r="AV68" s="2589" t="s">
        <v>675</v>
      </c>
      <c r="AW68" s="2422"/>
      <c r="AX68" s="2422"/>
      <c r="AY68" s="2422"/>
      <c r="AZ68" s="2422"/>
      <c r="BA68" s="2422"/>
      <c r="BB68" s="2422"/>
      <c r="BC68" s="2423"/>
      <c r="BD68" s="1206"/>
      <c r="BE68" s="1202"/>
      <c r="BM68" s="1251" t="s">
        <v>2475</v>
      </c>
    </row>
    <row r="69" spans="1:65" ht="15.8" customHeight="1" thickTop="1" thickBot="1">
      <c r="A69" s="1206"/>
      <c r="B69" s="2590" t="s">
        <v>1818</v>
      </c>
      <c r="C69" s="2591"/>
      <c r="D69" s="2591"/>
      <c r="E69" s="2591"/>
      <c r="F69" s="2591"/>
      <c r="G69" s="2591"/>
      <c r="H69" s="2591"/>
      <c r="I69" s="2591"/>
      <c r="J69" s="2591"/>
      <c r="K69" s="2591"/>
      <c r="L69" s="2591"/>
      <c r="M69" s="2591"/>
      <c r="N69" s="2591"/>
      <c r="O69" s="2592" t="s">
        <v>1819</v>
      </c>
      <c r="P69" s="2593"/>
      <c r="Q69" s="2593"/>
      <c r="R69" s="2593"/>
      <c r="S69" s="2593"/>
      <c r="T69" s="2593"/>
      <c r="U69" s="2593"/>
      <c r="V69" s="2593"/>
      <c r="W69" s="2593"/>
      <c r="X69" s="2593"/>
      <c r="Y69" s="2593"/>
      <c r="Z69" s="2593"/>
      <c r="AA69" s="2594"/>
      <c r="AB69" s="1206"/>
      <c r="AC69" s="2595" t="s">
        <v>1820</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552</v>
      </c>
    </row>
    <row r="70" spans="1:65" ht="15.8" customHeight="1">
      <c r="A70" s="1206"/>
      <c r="B70" s="2317" t="s">
        <v>2476</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1821</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675</v>
      </c>
    </row>
    <row r="71" spans="1:65" ht="15.8" customHeight="1" thickBot="1">
      <c r="A71" s="1206"/>
      <c r="B71" s="2317" t="s">
        <v>2477</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1822</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2478</v>
      </c>
    </row>
    <row r="72" spans="1:65" ht="15.8" customHeight="1">
      <c r="A72" s="1206"/>
      <c r="B72" s="2317" t="s">
        <v>2479</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2480</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8" customHeight="1">
      <c r="A73" s="1206"/>
      <c r="B73" s="2349" t="s">
        <v>2481</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2182</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8"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8"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600" t="s">
        <v>2546</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7" t="s">
        <v>2165</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2613</v>
      </c>
      <c r="AK83" s="2244"/>
      <c r="AL83" s="2244"/>
      <c r="AM83" s="2244"/>
      <c r="AN83" s="2244"/>
      <c r="AO83" s="2244"/>
      <c r="AP83" s="2244"/>
      <c r="AQ83" s="2244"/>
      <c r="AR83" s="2244"/>
      <c r="AS83" s="2244"/>
      <c r="AT83" s="2244"/>
      <c r="AU83" s="2244"/>
      <c r="AV83" s="2244"/>
      <c r="AW83" s="2244"/>
      <c r="AX83" s="2244"/>
      <c r="AY83" s="2247" t="s">
        <v>552</v>
      </c>
      <c r="AZ83" s="2247"/>
      <c r="BA83" s="2247"/>
      <c r="BB83" s="2248"/>
      <c r="BC83" s="1206"/>
      <c r="BD83" s="1206"/>
      <c r="BE83" s="1202"/>
    </row>
    <row r="84" spans="1:70" ht="15.8" customHeight="1">
      <c r="A84" s="1206"/>
      <c r="B84" s="2202"/>
      <c r="C84" s="2203"/>
      <c r="D84" s="2203"/>
      <c r="E84" s="2203"/>
      <c r="F84" s="2203"/>
      <c r="G84" s="2203"/>
      <c r="H84" s="2203"/>
      <c r="I84" s="2203" t="s">
        <v>1823</v>
      </c>
      <c r="J84" s="2203"/>
      <c r="K84" s="2203"/>
      <c r="L84" s="2203"/>
      <c r="M84" s="2203"/>
      <c r="N84" s="2203"/>
      <c r="O84" s="2203" t="s">
        <v>1824</v>
      </c>
      <c r="P84" s="2203"/>
      <c r="Q84" s="2203"/>
      <c r="R84" s="2203"/>
      <c r="S84" s="2203"/>
      <c r="T84" s="2203"/>
      <c r="U84" s="2203"/>
      <c r="V84" s="2199" t="s">
        <v>2183</v>
      </c>
      <c r="W84" s="2199"/>
      <c r="X84" s="2199"/>
      <c r="Y84" s="2199"/>
      <c r="Z84" s="2199"/>
      <c r="AA84" s="2199"/>
      <c r="AB84" s="2200" t="s">
        <v>1825</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8"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8" customHeight="1">
      <c r="A86" s="1206"/>
      <c r="B86" s="2202" t="s">
        <v>2166</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8" customHeight="1">
      <c r="A87" s="1206"/>
      <c r="B87" s="2202" t="s">
        <v>2167</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2482</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8" customHeight="1" thickBot="1">
      <c r="A88" s="1206"/>
      <c r="B88" s="2222" t="s">
        <v>1826</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600" t="s">
        <v>2546</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7" t="s">
        <v>2610</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2609</v>
      </c>
      <c r="AK96" s="2244"/>
      <c r="AL96" s="2244"/>
      <c r="AM96" s="2244"/>
      <c r="AN96" s="2244"/>
      <c r="AO96" s="2244"/>
      <c r="AP96" s="2244"/>
      <c r="AQ96" s="2244"/>
      <c r="AR96" s="2244"/>
      <c r="AS96" s="2244"/>
      <c r="AT96" s="2244"/>
      <c r="AU96" s="2244"/>
      <c r="AV96" s="2244"/>
      <c r="AW96" s="2244"/>
      <c r="AX96" s="2244"/>
      <c r="AY96" s="2247" t="s">
        <v>552</v>
      </c>
      <c r="AZ96" s="2247"/>
      <c r="BA96" s="2247"/>
      <c r="BB96" s="2248"/>
      <c r="BC96" s="1206"/>
      <c r="BD96" s="1206"/>
      <c r="BE96" s="1202"/>
      <c r="BQ96" s="1245" t="str">
        <f>Application!M243</f>
        <v>Central Valley Coalition for Affordable Housing</v>
      </c>
      <c r="BR96" s="1245">
        <f>Application!AH245</f>
        <v>0</v>
      </c>
    </row>
    <row r="97" spans="1:70" ht="15.8" customHeight="1">
      <c r="A97" s="1206"/>
      <c r="B97" s="2202"/>
      <c r="C97" s="2203"/>
      <c r="D97" s="2203"/>
      <c r="E97" s="2203"/>
      <c r="F97" s="2203"/>
      <c r="G97" s="2203"/>
      <c r="H97" s="2203"/>
      <c r="I97" s="2203" t="s">
        <v>1823</v>
      </c>
      <c r="J97" s="2203"/>
      <c r="K97" s="2203"/>
      <c r="L97" s="2203"/>
      <c r="M97" s="2203"/>
      <c r="N97" s="2203"/>
      <c r="O97" s="2203" t="s">
        <v>1824</v>
      </c>
      <c r="P97" s="2203"/>
      <c r="Q97" s="2203"/>
      <c r="R97" s="2203"/>
      <c r="S97" s="2203"/>
      <c r="T97" s="2203"/>
      <c r="U97" s="2203"/>
      <c r="V97" s="2199" t="s">
        <v>2183</v>
      </c>
      <c r="W97" s="2199"/>
      <c r="X97" s="2199"/>
      <c r="Y97" s="2199"/>
      <c r="Z97" s="2199"/>
      <c r="AA97" s="2199"/>
      <c r="AB97" s="2200" t="s">
        <v>1825</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TPC Holdings IX, LLC</v>
      </c>
      <c r="BR97" s="1245">
        <f>Application!AH253</f>
        <v>0</v>
      </c>
    </row>
    <row r="98" spans="1:70" ht="15.8"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8" customHeight="1">
      <c r="A99" s="1206"/>
      <c r="B99" s="2202" t="s">
        <v>2166</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8" customHeight="1">
      <c r="A100" s="1206"/>
      <c r="B100" s="2202" t="s">
        <v>2167</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2482</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8" customHeight="1" thickBot="1">
      <c r="A101" s="1206"/>
      <c r="B101" s="2222" t="s">
        <v>1826</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2" t="s">
        <v>2606</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2"/>
      <c r="C108" s="2203"/>
      <c r="D108" s="2203"/>
      <c r="E108" s="2203"/>
      <c r="F108" s="2203"/>
      <c r="G108" s="2203"/>
      <c r="H108" s="2203"/>
      <c r="I108" s="2203" t="s">
        <v>1823</v>
      </c>
      <c r="J108" s="2203"/>
      <c r="K108" s="2203"/>
      <c r="L108" s="2203"/>
      <c r="M108" s="2203"/>
      <c r="N108" s="2203"/>
      <c r="O108" s="2203" t="s">
        <v>1824</v>
      </c>
      <c r="P108" s="2203"/>
      <c r="Q108" s="2203"/>
      <c r="R108" s="2203"/>
      <c r="S108" s="2203"/>
      <c r="T108" s="2203"/>
      <c r="U108" s="2203"/>
      <c r="V108" s="2199" t="s">
        <v>2183</v>
      </c>
      <c r="W108" s="2199"/>
      <c r="X108" s="2199"/>
      <c r="Y108" s="2199"/>
      <c r="Z108" s="2199"/>
      <c r="AA108" s="2199"/>
      <c r="AB108" s="2200" t="s">
        <v>1825</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2" t="s">
        <v>2166</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2" t="s">
        <v>2167</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2" t="s">
        <v>1826</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3" t="s">
        <v>2483</v>
      </c>
      <c r="C117" s="2244"/>
      <c r="D117" s="2244"/>
      <c r="E117" s="2244"/>
      <c r="F117" s="2244"/>
      <c r="G117" s="2244"/>
      <c r="H117" s="2244"/>
      <c r="I117" s="2244"/>
      <c r="J117" s="2244"/>
      <c r="K117" s="2244"/>
      <c r="L117" s="2244"/>
      <c r="M117" s="2244"/>
      <c r="N117" s="2244"/>
      <c r="O117" s="2244"/>
      <c r="P117" s="2244"/>
      <c r="Q117" s="2247" t="s">
        <v>552</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6" t="s">
        <v>2184</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2168</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8" customHeight="1">
      <c r="A126" s="1206"/>
      <c r="B126" s="2407" t="s">
        <v>1683</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8" customHeight="1">
      <c r="A127" s="1206"/>
      <c r="B127" s="2410"/>
      <c r="C127" s="2411"/>
      <c r="D127" s="2411"/>
      <c r="E127" s="2411"/>
      <c r="F127" s="2411"/>
      <c r="G127" s="2411"/>
      <c r="H127" s="2411"/>
      <c r="I127" s="2203" t="s">
        <v>2169</v>
      </c>
      <c r="J127" s="2203"/>
      <c r="K127" s="2203"/>
      <c r="L127" s="2203"/>
      <c r="M127" s="2203"/>
      <c r="N127" s="2203"/>
      <c r="O127" s="2412" t="s">
        <v>2170</v>
      </c>
      <c r="P127" s="2412"/>
      <c r="Q127" s="2412"/>
      <c r="R127" s="2412"/>
      <c r="S127" s="2412"/>
      <c r="T127" s="2412"/>
      <c r="U127" s="2413"/>
      <c r="V127" s="1206"/>
      <c r="W127" s="1206"/>
      <c r="X127" s="2390" t="s">
        <v>2182</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8" customHeight="1">
      <c r="A128" s="1206"/>
      <c r="B128" s="2416" t="s">
        <v>2171</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8" customHeight="1" thickBot="1">
      <c r="A129" s="1206"/>
      <c r="B129" s="2418" t="s">
        <v>2172</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8" customHeight="1">
      <c r="A133" s="1206"/>
      <c r="B133" s="2269" t="s">
        <v>1829</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8" customHeight="1">
      <c r="A134" s="1206"/>
      <c r="B134" s="2410"/>
      <c r="C134" s="2411"/>
      <c r="D134" s="2411"/>
      <c r="E134" s="2411"/>
      <c r="F134" s="2411"/>
      <c r="G134" s="2411"/>
      <c r="H134" s="2411"/>
      <c r="I134" s="2434" t="s">
        <v>1824</v>
      </c>
      <c r="J134" s="2434"/>
      <c r="K134" s="2434"/>
      <c r="L134" s="2434"/>
      <c r="M134" s="2434"/>
      <c r="N134" s="2434"/>
      <c r="O134" s="2434"/>
      <c r="P134" s="2434" t="s">
        <v>2183</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8"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8" customHeight="1">
      <c r="A136" s="1206"/>
      <c r="B136" s="2416" t="s">
        <v>2171</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8" customHeight="1" thickBot="1">
      <c r="A137" s="1206"/>
      <c r="B137" s="2418" t="s">
        <v>2172</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20" t="s">
        <v>1830</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552</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8" customHeight="1">
      <c r="A140" s="1206"/>
      <c r="B140" s="2424" t="s">
        <v>1831</v>
      </c>
      <c r="C140" s="2425"/>
      <c r="D140" s="2425"/>
      <c r="E140" s="2425"/>
      <c r="F140" s="2425"/>
      <c r="G140" s="2425"/>
      <c r="H140" s="2425"/>
      <c r="I140" s="2425"/>
      <c r="J140" s="2425"/>
      <c r="K140" s="2425"/>
      <c r="L140" s="2425"/>
      <c r="M140" s="2425"/>
      <c r="N140" s="2425"/>
      <c r="O140" s="2425"/>
      <c r="P140" s="2425"/>
      <c r="Q140" s="2425"/>
      <c r="R140" s="2426" t="s">
        <v>2185</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250</v>
      </c>
      <c r="BD140" s="1206"/>
      <c r="BE140" s="1202"/>
    </row>
    <row r="141" spans="1:57" ht="15.8" customHeight="1">
      <c r="A141" s="1206"/>
      <c r="B141" s="2428" t="s">
        <v>2186</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8"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8"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8"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8"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8"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8"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8"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8"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8"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7" t="s">
        <v>1833</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2188</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8" customHeight="1">
      <c r="A155" s="1206"/>
      <c r="B155" s="2410"/>
      <c r="C155" s="2411"/>
      <c r="D155" s="2411"/>
      <c r="E155" s="2411"/>
      <c r="F155" s="2411"/>
      <c r="G155" s="2411"/>
      <c r="H155" s="2411"/>
      <c r="I155" s="2434" t="s">
        <v>1824</v>
      </c>
      <c r="J155" s="2434"/>
      <c r="K155" s="2434"/>
      <c r="L155" s="2434"/>
      <c r="M155" s="2434"/>
      <c r="N155" s="2434"/>
      <c r="O155" s="2434"/>
      <c r="P155" s="2434" t="s">
        <v>2189</v>
      </c>
      <c r="Q155" s="2434"/>
      <c r="R155" s="2434"/>
      <c r="S155" s="2434"/>
      <c r="T155" s="2434"/>
      <c r="U155" s="2435"/>
      <c r="V155" s="1206"/>
      <c r="W155" s="1206"/>
      <c r="X155" s="2410"/>
      <c r="Y155" s="2411"/>
      <c r="Z155" s="2411"/>
      <c r="AA155" s="2411"/>
      <c r="AB155" s="2411"/>
      <c r="AC155" s="2411"/>
      <c r="AD155" s="2411"/>
      <c r="AE155" s="2434" t="s">
        <v>1824</v>
      </c>
      <c r="AF155" s="2434"/>
      <c r="AG155" s="2434"/>
      <c r="AH155" s="2434"/>
      <c r="AI155" s="2434"/>
      <c r="AJ155" s="2434"/>
      <c r="AK155" s="2434"/>
      <c r="AL155" s="2434" t="s">
        <v>2183</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8"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6" t="s">
        <v>2171</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2171</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8" t="s">
        <v>2172</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7" t="s">
        <v>2173</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10" t="s">
        <v>1834</v>
      </c>
      <c r="D161" s="2411"/>
      <c r="E161" s="2411"/>
      <c r="F161" s="2411"/>
      <c r="G161" s="2411"/>
      <c r="H161" s="2411"/>
      <c r="I161" s="2411"/>
      <c r="J161" s="2411"/>
      <c r="K161" s="2411"/>
      <c r="L161" s="2411"/>
      <c r="M161" s="2411"/>
      <c r="N161" s="2411"/>
      <c r="O161" s="2411"/>
      <c r="P161" s="2411"/>
      <c r="Q161" s="2411" t="s">
        <v>1835</v>
      </c>
      <c r="R161" s="2411"/>
      <c r="S161" s="2411"/>
      <c r="T161" s="2200" t="s">
        <v>2174</v>
      </c>
      <c r="U161" s="2200"/>
      <c r="V161" s="2200"/>
      <c r="W161" s="2200"/>
      <c r="X161" s="2200"/>
      <c r="Y161" s="2200"/>
      <c r="Z161" s="2200"/>
      <c r="AA161" s="2200"/>
      <c r="AB161" s="2411" t="s">
        <v>1836</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7" t="s">
        <v>1837</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7" t="s">
        <v>1838</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7" t="s">
        <v>1839</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7" t="s">
        <v>1810</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7" t="s">
        <v>169</v>
      </c>
      <c r="D166" s="2438"/>
      <c r="E166" s="2438"/>
      <c r="F166" s="2444" t="s">
        <v>1840</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7" t="s">
        <v>169</v>
      </c>
      <c r="D167" s="2438"/>
      <c r="E167" s="2438"/>
      <c r="F167" s="2444" t="s">
        <v>1840</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5" t="s">
        <v>169</v>
      </c>
      <c r="D168" s="2446"/>
      <c r="E168" s="2446"/>
      <c r="F168" s="2447" t="s">
        <v>1840</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2" t="s">
        <v>1841</v>
      </c>
      <c r="D170" s="2463"/>
      <c r="E170" s="2463"/>
      <c r="F170" s="2463"/>
      <c r="G170" s="2463"/>
      <c r="H170" s="2463"/>
      <c r="I170" s="2463"/>
      <c r="J170" s="2463"/>
      <c r="K170" s="2463"/>
      <c r="L170" s="2463"/>
      <c r="M170" s="2463"/>
      <c r="N170" s="2464"/>
      <c r="O170" s="1206"/>
      <c r="P170" s="2420" t="s">
        <v>1842</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10" t="s">
        <v>1843</v>
      </c>
      <c r="D171" s="2411"/>
      <c r="E171" s="2411"/>
      <c r="F171" s="2411"/>
      <c r="G171" s="2411"/>
      <c r="H171" s="2411"/>
      <c r="I171" s="2411" t="s">
        <v>1844</v>
      </c>
      <c r="J171" s="2411"/>
      <c r="K171" s="2411"/>
      <c r="L171" s="2411"/>
      <c r="M171" s="2411"/>
      <c r="N171" s="2436"/>
      <c r="O171" s="1206"/>
      <c r="P171" s="2390" t="s">
        <v>2182</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6" t="s">
        <v>2484</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2599</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8"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2620</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8" customHeight="1">
      <c r="A182" s="1206"/>
      <c r="B182" s="1206"/>
      <c r="C182" s="2462" t="s">
        <v>1834</v>
      </c>
      <c r="D182" s="2463"/>
      <c r="E182" s="2463"/>
      <c r="F182" s="2463"/>
      <c r="G182" s="2463"/>
      <c r="H182" s="2463"/>
      <c r="I182" s="2463"/>
      <c r="J182" s="2463"/>
      <c r="K182" s="2463"/>
      <c r="L182" s="2463"/>
      <c r="M182" s="2463"/>
      <c r="N182" s="2463" t="s">
        <v>1845</v>
      </c>
      <c r="O182" s="2463"/>
      <c r="P182" s="2463"/>
      <c r="Q182" s="2463"/>
      <c r="R182" s="2463"/>
      <c r="S182" s="2463"/>
      <c r="T182" s="2463"/>
      <c r="U182" s="2358" t="s">
        <v>1834</v>
      </c>
      <c r="V182" s="2358"/>
      <c r="W182" s="2358"/>
      <c r="X182" s="2358"/>
      <c r="Y182" s="2358"/>
      <c r="Z182" s="2358"/>
      <c r="AA182" s="2358"/>
      <c r="AB182" s="2358"/>
      <c r="AC182" s="2358"/>
      <c r="AD182" s="2358"/>
      <c r="AE182" s="2359"/>
      <c r="AF182" s="1206"/>
      <c r="AG182" s="1206"/>
      <c r="AH182" s="2215" t="s">
        <v>2604</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8" customHeight="1">
      <c r="A183" s="1206"/>
      <c r="B183" s="1206"/>
      <c r="C183" s="2205" t="s">
        <v>2485</v>
      </c>
      <c r="D183" s="2206"/>
      <c r="E183" s="2206"/>
      <c r="F183" s="2206"/>
      <c r="G183" s="2206"/>
      <c r="H183" s="2206"/>
      <c r="I183" s="2206"/>
      <c r="J183" s="2206"/>
      <c r="K183" s="2206"/>
      <c r="L183" s="2206"/>
      <c r="M183" s="2206"/>
      <c r="N183" s="2468">
        <f>'Sources and Uses Budget'!B105</f>
        <v>196770150</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2603</v>
      </c>
      <c r="AI183" s="2215"/>
      <c r="AJ183" s="2215"/>
      <c r="AK183" s="2215"/>
      <c r="AL183" s="2215"/>
      <c r="AM183" s="2215"/>
      <c r="AN183" s="2215"/>
      <c r="AO183" s="2215"/>
      <c r="AP183" s="2215"/>
      <c r="AQ183" s="2215"/>
      <c r="AR183" s="2215"/>
      <c r="AS183" s="2215"/>
      <c r="AT183" s="2215"/>
      <c r="AU183" s="2182">
        <f>MAX(0,Application!AG439-100)*20000</f>
        <v>7520000</v>
      </c>
      <c r="AV183" s="2182"/>
      <c r="AW183" s="2182"/>
      <c r="AX183" s="2182"/>
      <c r="AY183" s="2182"/>
      <c r="AZ183" s="2182"/>
      <c r="BA183" s="2182"/>
      <c r="BB183" s="2182"/>
      <c r="BC183" s="2186"/>
      <c r="BD183" s="2187"/>
      <c r="BE183" s="2188"/>
    </row>
    <row r="184" spans="1:57" ht="15.8" customHeight="1">
      <c r="A184" s="1206"/>
      <c r="B184" s="1206"/>
      <c r="C184" s="2205" t="s">
        <v>2486</v>
      </c>
      <c r="D184" s="2206"/>
      <c r="E184" s="2206"/>
      <c r="F184" s="2206"/>
      <c r="G184" s="2206"/>
      <c r="H184" s="2206"/>
      <c r="I184" s="2206"/>
      <c r="J184" s="2206"/>
      <c r="K184" s="2206"/>
      <c r="L184" s="2206"/>
      <c r="M184" s="2206"/>
      <c r="N184" s="2468">
        <f>N183/J29</f>
        <v>413382.66806722688</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2602</v>
      </c>
      <c r="AI184" s="2192"/>
      <c r="AJ184" s="2192"/>
      <c r="AK184" s="2192"/>
      <c r="AL184" s="2192"/>
      <c r="AM184" s="2192"/>
      <c r="AN184" s="2192"/>
      <c r="AO184" s="2192"/>
      <c r="AP184" s="2192"/>
      <c r="AQ184" s="2192"/>
      <c r="AR184" s="2192"/>
      <c r="AS184" s="2192"/>
      <c r="AT184" s="2192"/>
      <c r="AU184" s="2183">
        <f>AU182+AU183</f>
        <v>10020000</v>
      </c>
      <c r="AV184" s="2183"/>
      <c r="AW184" s="2183"/>
      <c r="AX184" s="2183"/>
      <c r="AY184" s="2183"/>
      <c r="AZ184" s="2183"/>
      <c r="BA184" s="2183"/>
      <c r="BB184" s="2183"/>
      <c r="BC184" s="2186"/>
      <c r="BD184" s="2187"/>
      <c r="BE184" s="2188"/>
    </row>
    <row r="185" spans="1:57" ht="15.8" customHeight="1">
      <c r="A185" s="1206"/>
      <c r="B185" s="1206"/>
      <c r="C185" s="2471" t="s">
        <v>2487</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2601</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8" customHeight="1" thickBot="1">
      <c r="A186" s="1206"/>
      <c r="B186" s="1206"/>
      <c r="C186" s="2205" t="s">
        <v>2488</v>
      </c>
      <c r="D186" s="2206"/>
      <c r="E186" s="2206"/>
      <c r="F186" s="2206"/>
      <c r="G186" s="2206"/>
      <c r="H186" s="2206"/>
      <c r="I186" s="2206"/>
      <c r="J186" s="2206"/>
      <c r="K186" s="2206"/>
      <c r="L186" s="2206"/>
      <c r="M186" s="2206"/>
      <c r="N186" s="2467">
        <f>SUM('Sources and Uses Budget'!B85:B86)</f>
        <v>19666685</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5" t="s">
        <v>2489</v>
      </c>
      <c r="D187" s="2206"/>
      <c r="E187" s="2206"/>
      <c r="F187" s="2206"/>
      <c r="G187" s="2206"/>
      <c r="H187" s="2206"/>
      <c r="I187" s="2206"/>
      <c r="J187" s="2206"/>
      <c r="K187" s="2206"/>
      <c r="L187" s="2206"/>
      <c r="M187" s="2206"/>
      <c r="N187" s="2467">
        <f>'Sources and Uses Budget'!B8</f>
        <v>4680810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1846</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8" customHeight="1">
      <c r="A188" s="1206"/>
      <c r="B188" s="1206"/>
      <c r="C188" s="2205" t="s">
        <v>2490</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1846</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8" customHeight="1">
      <c r="A189" s="1206"/>
      <c r="B189" s="1206"/>
      <c r="C189" s="2205" t="s">
        <v>2491</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2600</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8" customHeight="1">
      <c r="A190" s="1206"/>
      <c r="B190" s="1206"/>
      <c r="C190" s="2508" t="s">
        <v>300</v>
      </c>
      <c r="D190" s="2439"/>
      <c r="E190" s="2507" t="s">
        <v>1840</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2599</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8" customHeight="1" thickBot="1">
      <c r="A191" s="1206"/>
      <c r="B191" s="1206"/>
      <c r="C191" s="2396" t="s">
        <v>300</v>
      </c>
      <c r="D191" s="2366"/>
      <c r="E191" s="2507" t="s">
        <v>1840</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8" customHeight="1" thickBot="1">
      <c r="A192" s="1206"/>
      <c r="B192" s="1206"/>
      <c r="C192" s="2496" t="s">
        <v>300</v>
      </c>
      <c r="D192" s="2497"/>
      <c r="E192" s="2498" t="s">
        <v>1840</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1847</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8" customHeight="1">
      <c r="A193" s="1206"/>
      <c r="B193" s="1206"/>
      <c r="C193" s="2492" t="s">
        <v>1848</v>
      </c>
      <c r="D193" s="2493"/>
      <c r="E193" s="2493"/>
      <c r="F193" s="2493"/>
      <c r="G193" s="2493"/>
      <c r="H193" s="2493"/>
      <c r="I193" s="2493"/>
      <c r="J193" s="2493"/>
      <c r="K193" s="2493"/>
      <c r="L193" s="2493"/>
      <c r="M193" s="2493"/>
      <c r="N193" s="2494">
        <f>SUM(N185:T192)</f>
        <v>24347495</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2598</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8" customHeight="1" thickBot="1">
      <c r="A194" s="1206"/>
      <c r="B194" s="1206"/>
      <c r="C194" s="2535" t="s">
        <v>2492</v>
      </c>
      <c r="D194" s="2536"/>
      <c r="E194" s="2536"/>
      <c r="F194" s="2536"/>
      <c r="G194" s="2536"/>
      <c r="H194" s="2536"/>
      <c r="I194" s="2536"/>
      <c r="J194" s="2536"/>
      <c r="K194" s="2536"/>
      <c r="L194" s="2536"/>
      <c r="M194" s="2536"/>
      <c r="N194" s="2537">
        <f>(N183-N193)/J29</f>
        <v>362232.46848739497</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5" t="s">
        <v>2597</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5" t="s">
        <v>2596</v>
      </c>
      <c r="D198" s="2195"/>
      <c r="E198" s="2195"/>
      <c r="F198" s="2195"/>
      <c r="G198" s="2195"/>
      <c r="H198" s="2195"/>
      <c r="I198" s="2195"/>
      <c r="J198" s="2195"/>
      <c r="K198" s="2195"/>
      <c r="L198" s="2195"/>
      <c r="M198" s="2195"/>
      <c r="N198" s="2195"/>
      <c r="O198" s="2196" t="s">
        <v>2595</v>
      </c>
      <c r="P198" s="2196"/>
      <c r="Q198" s="2196"/>
      <c r="R198" s="2196"/>
      <c r="S198" s="2196"/>
      <c r="T198" s="2196"/>
      <c r="U198" s="2196"/>
      <c r="V198" s="2196"/>
      <c r="W198" s="2196"/>
      <c r="X198" s="2196" t="s">
        <v>2594</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3" t="s">
        <v>2593</v>
      </c>
      <c r="D199" s="2193"/>
      <c r="E199" s="2193"/>
      <c r="F199" s="2193"/>
      <c r="G199" s="2193"/>
      <c r="H199" s="2193"/>
      <c r="I199" s="2193"/>
      <c r="J199" s="2193"/>
      <c r="K199" s="2193"/>
      <c r="L199" s="2193"/>
      <c r="M199" s="2193"/>
      <c r="N199" s="2193"/>
      <c r="O199" s="2488" t="s">
        <v>2592</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3" t="s">
        <v>863</v>
      </c>
      <c r="D200" s="2193"/>
      <c r="E200" s="2193"/>
      <c r="F200" s="2193"/>
      <c r="G200" s="2193"/>
      <c r="H200" s="2193"/>
      <c r="I200" s="2193"/>
      <c r="J200" s="2193"/>
      <c r="K200" s="2193"/>
      <c r="L200" s="2193"/>
      <c r="M200" s="2193"/>
      <c r="N200" s="2193"/>
      <c r="O200" s="2488" t="s">
        <v>2592</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3" t="s">
        <v>2591</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2590</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4" t="s">
        <v>2589</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10" t="s">
        <v>2588</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3" t="s">
        <v>2587</v>
      </c>
      <c r="D205" s="2514"/>
      <c r="E205" s="2514"/>
      <c r="F205" s="2515"/>
      <c r="G205" s="2519" t="s">
        <v>2586</v>
      </c>
      <c r="H205" s="2514"/>
      <c r="I205" s="2514"/>
      <c r="J205" s="2514"/>
      <c r="K205" s="2514"/>
      <c r="L205" s="2514"/>
      <c r="M205" s="2514"/>
      <c r="N205" s="2514"/>
      <c r="O205" s="2515"/>
      <c r="P205" s="2521" t="s">
        <v>2585</v>
      </c>
      <c r="Q205" s="2522"/>
      <c r="R205" s="2522"/>
      <c r="S205" s="2522"/>
      <c r="T205" s="2523"/>
      <c r="U205" s="2527" t="s">
        <v>2584</v>
      </c>
      <c r="V205" s="2528"/>
      <c r="W205" s="2528"/>
      <c r="X205" s="2529"/>
      <c r="Y205" s="2527" t="s">
        <v>2583</v>
      </c>
      <c r="Z205" s="2528"/>
      <c r="AA205" s="2528"/>
      <c r="AB205" s="2529"/>
      <c r="AC205" s="2527" t="s">
        <v>2582</v>
      </c>
      <c r="AD205" s="2528"/>
      <c r="AE205" s="2528"/>
      <c r="AF205" s="2529"/>
      <c r="AG205" s="2519" t="s">
        <v>2581</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2">
        <v>1</v>
      </c>
      <c r="D207" s="2173"/>
      <c r="E207" s="2173"/>
      <c r="F207" s="2173"/>
      <c r="G207" s="2174" t="s">
        <v>2149</v>
      </c>
      <c r="H207" s="2174"/>
      <c r="I207" s="2174"/>
      <c r="J207" s="2174"/>
      <c r="K207" s="2174"/>
      <c r="L207" s="2174"/>
      <c r="M207" s="2174"/>
      <c r="N207" s="2174"/>
      <c r="O207" s="2174"/>
      <c r="P207" s="2175"/>
      <c r="Q207" s="2579"/>
      <c r="R207" s="2579"/>
      <c r="S207" s="2579"/>
      <c r="T207" s="2579"/>
      <c r="U207" s="2176" t="s">
        <v>2149</v>
      </c>
      <c r="V207" s="2176"/>
      <c r="W207" s="2176"/>
      <c r="X207" s="2176"/>
      <c r="Y207" s="2176" t="s">
        <v>2149</v>
      </c>
      <c r="Z207" s="2176"/>
      <c r="AA207" s="2176"/>
      <c r="AB207" s="2176"/>
      <c r="AC207" s="2177" t="s">
        <v>2149</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2">
        <v>2</v>
      </c>
      <c r="D208" s="2173"/>
      <c r="E208" s="2173"/>
      <c r="F208" s="2173"/>
      <c r="G208" s="2174" t="s">
        <v>2149</v>
      </c>
      <c r="H208" s="2174"/>
      <c r="I208" s="2174"/>
      <c r="J208" s="2174"/>
      <c r="K208" s="2174"/>
      <c r="L208" s="2174"/>
      <c r="M208" s="2174"/>
      <c r="N208" s="2174"/>
      <c r="O208" s="2174"/>
      <c r="P208" s="2175"/>
      <c r="Q208" s="2175"/>
      <c r="R208" s="2175"/>
      <c r="S208" s="2175"/>
      <c r="T208" s="2175"/>
      <c r="U208" s="2176" t="s">
        <v>2149</v>
      </c>
      <c r="V208" s="2176"/>
      <c r="W208" s="2176"/>
      <c r="X208" s="2176"/>
      <c r="Y208" s="2176" t="s">
        <v>2149</v>
      </c>
      <c r="Z208" s="2176"/>
      <c r="AA208" s="2176"/>
      <c r="AB208" s="2176"/>
      <c r="AC208" s="2177" t="s">
        <v>2149</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2">
        <v>3</v>
      </c>
      <c r="D209" s="2173"/>
      <c r="E209" s="2173"/>
      <c r="F209" s="2173"/>
      <c r="G209" s="2174" t="s">
        <v>2149</v>
      </c>
      <c r="H209" s="2174"/>
      <c r="I209" s="2174"/>
      <c r="J209" s="2174"/>
      <c r="K209" s="2174"/>
      <c r="L209" s="2174"/>
      <c r="M209" s="2174"/>
      <c r="N209" s="2174"/>
      <c r="O209" s="2174"/>
      <c r="P209" s="2175"/>
      <c r="Q209" s="2175"/>
      <c r="R209" s="2175"/>
      <c r="S209" s="2175"/>
      <c r="T209" s="2175"/>
      <c r="U209" s="2176" t="s">
        <v>2149</v>
      </c>
      <c r="V209" s="2176"/>
      <c r="W209" s="2176"/>
      <c r="X209" s="2176"/>
      <c r="Y209" s="2176" t="s">
        <v>2149</v>
      </c>
      <c r="Z209" s="2176"/>
      <c r="AA209" s="2176"/>
      <c r="AB209" s="2176"/>
      <c r="AC209" s="2177" t="s">
        <v>2149</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2">
        <v>4</v>
      </c>
      <c r="D210" s="2173"/>
      <c r="E210" s="2173"/>
      <c r="F210" s="2173"/>
      <c r="G210" s="2174" t="s">
        <v>2149</v>
      </c>
      <c r="H210" s="2174"/>
      <c r="I210" s="2174"/>
      <c r="J210" s="2174"/>
      <c r="K210" s="2174"/>
      <c r="L210" s="2174"/>
      <c r="M210" s="2174"/>
      <c r="N210" s="2174"/>
      <c r="O210" s="2174"/>
      <c r="P210" s="2175"/>
      <c r="Q210" s="2175"/>
      <c r="R210" s="2175"/>
      <c r="S210" s="2175"/>
      <c r="T210" s="2175"/>
      <c r="U210" s="2176" t="s">
        <v>2149</v>
      </c>
      <c r="V210" s="2176"/>
      <c r="W210" s="2176"/>
      <c r="X210" s="2176"/>
      <c r="Y210" s="2176" t="s">
        <v>2149</v>
      </c>
      <c r="Z210" s="2176"/>
      <c r="AA210" s="2176"/>
      <c r="AB210" s="2176"/>
      <c r="AC210" s="2177" t="s">
        <v>2149</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2149</v>
      </c>
      <c r="V211" s="2176"/>
      <c r="W211" s="2176"/>
      <c r="X211" s="2176"/>
      <c r="Y211" s="2176" t="s">
        <v>2149</v>
      </c>
      <c r="Z211" s="2176"/>
      <c r="AA211" s="2176"/>
      <c r="AB211" s="2176"/>
      <c r="AC211" s="2177" t="s">
        <v>2149</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2">
        <v>6</v>
      </c>
      <c r="D212" s="2173"/>
      <c r="E212" s="2173"/>
      <c r="F212" s="2173"/>
      <c r="G212" s="2174" t="s">
        <v>2149</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2149</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2149</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7" t="s">
        <v>2580</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7" t="s">
        <v>1849</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8"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8" customHeight="1">
      <c r="A221" s="1206"/>
      <c r="B221" s="2553" t="s">
        <v>1850</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8" customHeight="1">
      <c r="A222" s="1206"/>
      <c r="B222" s="2553" t="s">
        <v>1851</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6" t="s">
        <v>1852</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70" t="s">
        <v>1854</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69" t="s">
        <v>2493</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8"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8"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8"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8" t="s">
        <v>1855</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4" t="s">
        <v>1856</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4" t="s">
        <v>1857</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4" t="s">
        <v>442</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5" t="s">
        <v>1858</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6" t="s">
        <v>1859</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47" sqref="AK47"/>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6" t="s">
        <v>1385</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188620499</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504</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505</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506</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507</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812</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508</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35" t="s">
        <v>977</v>
      </c>
      <c r="D18" s="1635"/>
      <c r="E18" s="1635"/>
      <c r="F18" s="1635"/>
      <c r="G18" s="1635"/>
      <c r="H18" s="1635"/>
      <c r="I18" s="1635"/>
      <c r="J18" s="1635"/>
      <c r="K18" s="1635"/>
      <c r="L18" s="1635"/>
      <c r="M18" s="1635"/>
      <c r="N18" s="1635"/>
      <c r="O18" s="1635"/>
      <c r="P18" s="1635"/>
      <c r="Q18" s="1635"/>
      <c r="R18" s="1635"/>
      <c r="S18" s="1636"/>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35" t="s">
        <v>977</v>
      </c>
      <c r="D19" s="1635"/>
      <c r="E19" s="1635"/>
      <c r="F19" s="1635"/>
      <c r="G19" s="1635"/>
      <c r="H19" s="1635"/>
      <c r="I19" s="1635"/>
      <c r="J19" s="1635"/>
      <c r="K19" s="1635"/>
      <c r="L19" s="1635"/>
      <c r="M19" s="1635"/>
      <c r="N19" s="1635"/>
      <c r="O19" s="1635"/>
      <c r="P19" s="1635"/>
      <c r="Q19" s="1635"/>
      <c r="R19" s="1635"/>
      <c r="S19" s="1636"/>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509</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1368</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510</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511</v>
      </c>
      <c r="C23" s="2620"/>
      <c r="D23" s="2620"/>
      <c r="E23" s="2620"/>
      <c r="F23" s="2620"/>
      <c r="G23" s="2620"/>
      <c r="H23" s="2620"/>
      <c r="I23" s="2620"/>
      <c r="J23" s="2620"/>
      <c r="K23" s="2620"/>
      <c r="L23" s="2620"/>
      <c r="M23" s="2620"/>
      <c r="N23" s="2620"/>
      <c r="O23" s="2620"/>
      <c r="P23" s="2620"/>
      <c r="Q23" s="2620"/>
      <c r="R23" s="2620"/>
      <c r="S23" s="2621"/>
      <c r="T23" s="2635">
        <f>T11+T22</f>
        <v>188620499</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978</v>
      </c>
      <c r="C24" s="2620"/>
      <c r="D24" s="2620"/>
      <c r="E24" s="2620"/>
      <c r="F24" s="2620"/>
      <c r="G24" s="2620"/>
      <c r="H24" s="2620"/>
      <c r="I24" s="2620"/>
      <c r="J24" s="2620"/>
      <c r="K24" s="2620"/>
      <c r="L24" s="2620"/>
      <c r="M24" s="2620"/>
      <c r="N24" s="2620"/>
      <c r="O24" s="2620"/>
      <c r="P24" s="2620"/>
      <c r="Q24" s="2620"/>
      <c r="R24" s="2620"/>
      <c r="S24" s="2621"/>
      <c r="T24" s="2623">
        <f>Application!AJ1052</f>
        <v>414698520.19999999</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1369</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512</v>
      </c>
      <c r="C26" s="2620"/>
      <c r="D26" s="2620"/>
      <c r="E26" s="2620"/>
      <c r="F26" s="2620"/>
      <c r="G26" s="2620"/>
      <c r="H26" s="2620"/>
      <c r="I26" s="2620"/>
      <c r="J26" s="2620"/>
      <c r="K26" s="2620"/>
      <c r="L26" s="2620"/>
      <c r="M26" s="2620"/>
      <c r="N26" s="2620"/>
      <c r="O26" s="2620"/>
      <c r="P26" s="2620"/>
      <c r="Q26" s="2620"/>
      <c r="R26" s="2620"/>
      <c r="S26" s="2621"/>
      <c r="T26" s="2635">
        <f>T23*T25</f>
        <v>188620499</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1"/>
      <c r="B27" s="2669" t="s">
        <v>426</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513</v>
      </c>
      <c r="C28" s="2620"/>
      <c r="D28" s="2620"/>
      <c r="E28" s="2620"/>
      <c r="F28" s="2620"/>
      <c r="G28" s="2620"/>
      <c r="H28" s="2620"/>
      <c r="I28" s="2620"/>
      <c r="J28" s="2620"/>
      <c r="K28" s="2620"/>
      <c r="L28" s="2620"/>
      <c r="M28" s="2620"/>
      <c r="N28" s="2620"/>
      <c r="O28" s="2620"/>
      <c r="P28" s="2620"/>
      <c r="Q28" s="2620"/>
      <c r="R28" s="2620"/>
      <c r="S28" s="2621"/>
      <c r="T28" s="2635">
        <f>IF(ISERROR((T26*T27)),0,(T26*T27))</f>
        <v>188620499</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530</v>
      </c>
      <c r="C29" s="2620"/>
      <c r="D29" s="2620"/>
      <c r="E29" s="2620"/>
      <c r="F29" s="2620"/>
      <c r="G29" s="2620"/>
      <c r="H29" s="2620"/>
      <c r="I29" s="2620"/>
      <c r="J29" s="2620"/>
      <c r="K29" s="2620"/>
      <c r="L29" s="2620"/>
      <c r="M29" s="2620"/>
      <c r="N29" s="2620"/>
      <c r="O29" s="2620"/>
      <c r="P29" s="2620"/>
      <c r="Q29" s="2620"/>
      <c r="R29" s="2620"/>
      <c r="S29" s="2621"/>
      <c r="T29" s="2623">
        <f>T28+Y28+AD28+AI28</f>
        <v>188620499</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1371</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1370</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1253</v>
      </c>
      <c r="Z35" s="2636"/>
      <c r="AA35" s="2636"/>
      <c r="AB35" s="2636"/>
      <c r="AC35" s="2636"/>
      <c r="AD35" s="2637" t="s">
        <v>369</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513</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188620499</v>
      </c>
      <c r="Z38" s="2613"/>
      <c r="AA38" s="2613"/>
      <c r="AB38" s="2613"/>
      <c r="AC38" s="2613"/>
      <c r="AD38" s="2613">
        <f>IF(T24&gt;=(T23+Y23+AD23+AI23),AD28+AI28,0)</f>
        <v>0</v>
      </c>
      <c r="AE38" s="2613"/>
      <c r="AF38" s="2613"/>
      <c r="AG38" s="2613"/>
      <c r="AH38" s="2613"/>
    </row>
    <row r="39" spans="1:76" ht="12.95" customHeight="1">
      <c r="B39" s="2619" t="s">
        <v>1876</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648</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7544820</v>
      </c>
      <c r="Z40" s="2613"/>
      <c r="AA40" s="2613"/>
      <c r="AB40" s="2613"/>
      <c r="AC40" s="2613"/>
      <c r="AD40" s="2635">
        <f>ROUND(AD38*AD39,0)</f>
        <v>0</v>
      </c>
      <c r="AE40" s="2613"/>
      <c r="AF40" s="2613"/>
      <c r="AG40" s="2613"/>
      <c r="AH40" s="2613"/>
    </row>
    <row r="41" spans="1:76" ht="12.95" customHeight="1">
      <c r="B41" s="2619" t="s">
        <v>649</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7544820</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1381</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593</v>
      </c>
      <c r="C46" s="435" t="s">
        <v>282</v>
      </c>
    </row>
    <row r="47" spans="1:76" ht="12.95" customHeight="1">
      <c r="D47" s="435" t="s">
        <v>283</v>
      </c>
      <c r="AB47" s="2627">
        <f>'Sources and Uses Budget'!B105-MAX(IF('Sources and Uses Budget'!B15="",0,'Sources and Uses Budget'!B15),IF(Application!AG394="",0,Application!AG394))</f>
        <v>196770150</v>
      </c>
      <c r="AC47" s="2628"/>
      <c r="AD47" s="2628"/>
      <c r="AE47" s="2628"/>
      <c r="AF47" s="2629"/>
    </row>
    <row r="48" spans="1:76" ht="12.95" customHeight="1">
      <c r="D48" s="435" t="s">
        <v>21</v>
      </c>
      <c r="AB48" s="2627">
        <f>Application!AO639-MAX(IF('Sources and Uses Budget'!B15="",0,'Sources and Uses Budget'!B15),IF(Application!AG394="",0,Application!AG394))</f>
        <v>133400000</v>
      </c>
      <c r="AC48" s="2628"/>
      <c r="AD48" s="2628"/>
      <c r="AE48" s="2628"/>
      <c r="AF48" s="2629"/>
    </row>
    <row r="49" spans="1:76" ht="12.95" customHeight="1">
      <c r="D49" s="435" t="s">
        <v>91</v>
      </c>
      <c r="AB49" s="2627">
        <f>AB47-AB48</f>
        <v>63370150</v>
      </c>
      <c r="AC49" s="2628"/>
      <c r="AD49" s="2628"/>
      <c r="AE49" s="2628"/>
      <c r="AF49" s="2629"/>
    </row>
    <row r="50" spans="1:76" ht="12.95" customHeight="1">
      <c r="D50" s="435" t="s">
        <v>687</v>
      </c>
      <c r="AA50" s="446"/>
      <c r="AB50" s="2615">
        <f>0.9999*0.84</f>
        <v>0.839916</v>
      </c>
      <c r="AC50" s="2616"/>
      <c r="AD50" s="2616"/>
      <c r="AE50" s="2616"/>
      <c r="AF50" s="2617"/>
    </row>
    <row r="51" spans="1:76" s="448" customFormat="1" ht="12.95" customHeight="1">
      <c r="A51" s="433"/>
      <c r="B51" s="433"/>
      <c r="C51" s="433"/>
      <c r="D51" s="433"/>
      <c r="E51" s="2626" t="s">
        <v>2036</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7">
        <f>ROUND(IF(ISERROR((AB49/AB50)),0,(AB49/AB50)),0)</f>
        <v>75448200</v>
      </c>
      <c r="AC54" s="2628"/>
      <c r="AD54" s="2628"/>
      <c r="AE54" s="2628"/>
      <c r="AF54" s="2629"/>
    </row>
    <row r="55" spans="1:76" ht="12.95" customHeight="1">
      <c r="D55" s="435" t="s">
        <v>333</v>
      </c>
      <c r="AB55" s="2627">
        <f>(AB54/10)</f>
        <v>7544820</v>
      </c>
      <c r="AC55" s="2628"/>
      <c r="AD55" s="2628"/>
      <c r="AE55" s="2628"/>
      <c r="AF55" s="2629"/>
    </row>
    <row r="56" spans="1:76" ht="12.95" customHeight="1">
      <c r="D56" s="435" t="s">
        <v>763</v>
      </c>
      <c r="AB56" s="2630">
        <f>(IF((Y41&lt;AB55),Y41,AB55))</f>
        <v>7544820</v>
      </c>
      <c r="AC56" s="2631"/>
      <c r="AD56" s="2631"/>
      <c r="AE56" s="2631"/>
      <c r="AF56" s="2632"/>
    </row>
    <row r="57" spans="1:76" ht="12.95" customHeight="1">
      <c r="D57" s="435" t="s">
        <v>762</v>
      </c>
      <c r="AB57" s="2627">
        <f>ROUND((10*AB56*AB50),0)</f>
        <v>63370150</v>
      </c>
      <c r="AC57" s="2628"/>
      <c r="AD57" s="2628"/>
      <c r="AE57" s="2628"/>
      <c r="AF57" s="2629"/>
    </row>
    <row r="58" spans="1:76" ht="12.95" customHeight="1">
      <c r="D58" s="435"/>
      <c r="AB58" s="454"/>
      <c r="AC58" s="454"/>
      <c r="AD58" s="454"/>
      <c r="AE58" s="454"/>
      <c r="AF58" s="454"/>
    </row>
    <row r="59" spans="1:76" ht="12.95" customHeight="1">
      <c r="D59" s="435" t="s">
        <v>761</v>
      </c>
      <c r="AB59" s="2611">
        <f>AB49-AB57</f>
        <v>0</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596</v>
      </c>
      <c r="C63" s="219" t="s">
        <v>1353</v>
      </c>
      <c r="Y63" s="2622" t="s">
        <v>1000</v>
      </c>
      <c r="Z63" s="2622"/>
      <c r="AA63" s="2622"/>
      <c r="AB63" s="2622"/>
      <c r="AC63" s="2622"/>
      <c r="AD63" s="2622" t="s">
        <v>369</v>
      </c>
      <c r="AE63" s="2622"/>
      <c r="AF63" s="2622"/>
      <c r="AG63" s="2622"/>
      <c r="AH63" s="262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188620499</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2632</v>
      </c>
      <c r="Y68" s="2613">
        <f>ROUND(Y64*Y67,0)</f>
        <v>56586150</v>
      </c>
      <c r="Z68" s="2614"/>
      <c r="AA68" s="2614"/>
      <c r="AB68" s="2614"/>
      <c r="AC68" s="2614"/>
      <c r="AD68" s="2613">
        <f>ROUND(AD64*AD67,0)</f>
        <v>0</v>
      </c>
      <c r="AE68" s="2614"/>
      <c r="AF68" s="2614"/>
      <c r="AG68" s="2614"/>
      <c r="AH68" s="2614"/>
    </row>
    <row r="69" spans="1:36" ht="12.95" customHeight="1">
      <c r="C69" s="435"/>
      <c r="D69" s="219" t="s">
        <v>2633</v>
      </c>
      <c r="Y69" s="2613">
        <f>IF(OR(Application!Z205="State Farmworker Credit",Application!Z205="$500M (Farmworker Housing)"),Y68+AD68,MIN(Y68+AD68,200000*(Application!G753+Application!O777)))</f>
        <v>56586150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15"/>
      <c r="AC72" s="2616"/>
      <c r="AD72" s="2616"/>
      <c r="AE72" s="2616"/>
      <c r="AF72" s="2617"/>
    </row>
    <row r="73" spans="1:36" ht="12.95" customHeight="1">
      <c r="A73" s="435"/>
      <c r="C73" s="435"/>
      <c r="D73" s="435"/>
      <c r="E73" s="2618" t="s">
        <v>1356</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06">
        <f>ROUND(IF(ISERROR((AB59/AB72)),0,(AB59/AB72)),0)</f>
        <v>0</v>
      </c>
      <c r="AC77" s="2606"/>
      <c r="AD77" s="2606"/>
      <c r="AE77" s="2606"/>
      <c r="AF77" s="2606"/>
    </row>
    <row r="78" spans="1:36" ht="12.95" customHeight="1">
      <c r="C78" s="435"/>
      <c r="D78" s="219" t="s">
        <v>1358</v>
      </c>
      <c r="AB78" s="2607">
        <f>MIN(Y69,AB77)</f>
        <v>0</v>
      </c>
      <c r="AC78" s="2608"/>
      <c r="AD78" s="2608"/>
      <c r="AE78" s="2608"/>
      <c r="AF78" s="2609"/>
    </row>
    <row r="79" spans="1:36" ht="12.95" customHeight="1">
      <c r="C79" s="435"/>
      <c r="D79" s="219" t="s">
        <v>1359</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761</v>
      </c>
      <c r="AB81" s="2611">
        <f>AB49-(AB57+AB79)</f>
        <v>0</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1 Bedroom</v>
      </c>
      <c r="B4" s="1121">
        <f>Application!G718</f>
        <v>50</v>
      </c>
      <c r="C4" s="1122"/>
      <c r="D4" s="459">
        <f>Application!O718</f>
        <v>765</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50</v>
      </c>
      <c r="C5" s="1122"/>
      <c r="D5" s="459">
        <f>Application!O719</f>
        <v>1349</v>
      </c>
      <c r="E5" s="460"/>
      <c r="F5" s="1123"/>
      <c r="G5" s="459">
        <f t="shared" ref="G5:G38" si="2">F5*B5</f>
        <v>0</v>
      </c>
      <c r="H5" s="460"/>
      <c r="I5" s="459" t="str">
        <f t="shared" si="0"/>
        <v/>
      </c>
      <c r="J5" s="459" t="str">
        <f t="shared" si="1"/>
        <v/>
      </c>
      <c r="K5" s="218"/>
      <c r="L5" s="328"/>
    </row>
    <row r="6" spans="1:12">
      <c r="A6" s="459" t="str">
        <f>Application!B720</f>
        <v>1 Bedroom</v>
      </c>
      <c r="B6" s="1121">
        <f>Application!G720</f>
        <v>180</v>
      </c>
      <c r="C6" s="1122"/>
      <c r="D6" s="459">
        <f>Application!O720</f>
        <v>1641</v>
      </c>
      <c r="E6" s="460"/>
      <c r="F6" s="1123"/>
      <c r="G6" s="459">
        <f t="shared" si="2"/>
        <v>0</v>
      </c>
      <c r="H6" s="460"/>
      <c r="I6" s="459" t="str">
        <f t="shared" si="0"/>
        <v/>
      </c>
      <c r="J6" s="459" t="str">
        <f t="shared" si="1"/>
        <v/>
      </c>
      <c r="K6" s="218"/>
      <c r="L6" s="328"/>
    </row>
    <row r="7" spans="1:12">
      <c r="A7" s="459" t="str">
        <f>Application!B721</f>
        <v>1 Bedroom</v>
      </c>
      <c r="B7" s="1121">
        <f>Application!G721</f>
        <v>196</v>
      </c>
      <c r="C7" s="1122"/>
      <c r="D7" s="459">
        <f>Application!O721</f>
        <v>1933</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779948</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9359376</v>
      </c>
      <c r="G4" s="235">
        <f>E4*$C$4</f>
        <v>9593360.3999999985</v>
      </c>
      <c r="I4" s="235">
        <f>G4*$C$4</f>
        <v>9833194.4099999983</v>
      </c>
      <c r="K4" s="235">
        <f>I4*$C$4</f>
        <v>10079024.270249998</v>
      </c>
      <c r="M4" s="235">
        <f>K4*$C$4</f>
        <v>10330999.877006248</v>
      </c>
      <c r="O4" s="235">
        <f>M4*$C$4</f>
        <v>10589274.873931402</v>
      </c>
      <c r="Q4" s="235">
        <f>O4*$C$4</f>
        <v>10854006.745779686</v>
      </c>
      <c r="S4" s="235">
        <f>Q4*$C$4</f>
        <v>11125356.914424177</v>
      </c>
      <c r="U4" s="235">
        <f>S4*$C$4</f>
        <v>11403490.837284781</v>
      </c>
      <c r="W4" s="235">
        <f>U4*$C$4</f>
        <v>11688578.1082169</v>
      </c>
      <c r="Y4" s="235">
        <f>W4*$C$4</f>
        <v>11980792.560922321</v>
      </c>
      <c r="AA4" s="235">
        <f>Y4*$C$4</f>
        <v>12280312.374945378</v>
      </c>
      <c r="AC4" s="235">
        <f>AA4*$C$4</f>
        <v>12587320.184319012</v>
      </c>
      <c r="AE4" s="235">
        <f>AC4*$C$4</f>
        <v>12902003.188926985</v>
      </c>
      <c r="AG4" s="235">
        <f>AE4*$C$4</f>
        <v>13224553.268650159</v>
      </c>
    </row>
    <row r="5" spans="1:34" s="225" customFormat="1" ht="14">
      <c r="B5" s="225" t="s">
        <v>847</v>
      </c>
      <c r="C5" s="254">
        <f>IF(Application!$D$211="Special Needs",0.1,0.05)</f>
        <v>0.05</v>
      </c>
      <c r="E5" s="237">
        <f>-E4*$C$5</f>
        <v>-467968.80000000005</v>
      </c>
      <c r="F5" s="237"/>
      <c r="G5" s="237">
        <f>-G4*$C$5</f>
        <v>-479668.01999999996</v>
      </c>
      <c r="H5" s="237"/>
      <c r="I5" s="237">
        <f>-I4*$C$5</f>
        <v>-491659.72049999994</v>
      </c>
      <c r="J5" s="237"/>
      <c r="K5" s="237">
        <f>-K4*$C$5</f>
        <v>-503951.21351249993</v>
      </c>
      <c r="L5" s="237"/>
      <c r="M5" s="237">
        <f>-M4*$C$5</f>
        <v>-516549.99385031243</v>
      </c>
      <c r="N5" s="237"/>
      <c r="O5" s="237">
        <f>-O4*$C$5</f>
        <v>-529463.74369657016</v>
      </c>
      <c r="P5" s="237"/>
      <c r="Q5" s="237">
        <f>-Q4*$C$5</f>
        <v>-542700.33728898433</v>
      </c>
      <c r="R5" s="237"/>
      <c r="S5" s="237">
        <f>-S4*$C$5</f>
        <v>-556267.84572120884</v>
      </c>
      <c r="T5" s="237"/>
      <c r="U5" s="237">
        <f>-U4*$C$5</f>
        <v>-570174.54186423903</v>
      </c>
      <c r="V5" s="237"/>
      <c r="W5" s="237">
        <f>-W4*$C$5</f>
        <v>-584428.90541084507</v>
      </c>
      <c r="X5" s="237"/>
      <c r="Y5" s="237">
        <f>-Y4*$C$5</f>
        <v>-599039.62804611609</v>
      </c>
      <c r="Z5" s="237"/>
      <c r="AA5" s="237">
        <f>-AA4*$C$5</f>
        <v>-614015.61874726892</v>
      </c>
      <c r="AB5" s="237"/>
      <c r="AC5" s="237">
        <f>-AC4*$C$5</f>
        <v>-629366.00921595062</v>
      </c>
      <c r="AD5" s="237"/>
      <c r="AE5" s="237">
        <f>-AE4*$C$5</f>
        <v>-645100.15944634937</v>
      </c>
      <c r="AF5" s="237"/>
      <c r="AG5" s="237">
        <f>-AG4*$C$5</f>
        <v>-661227.66343250801</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72150</v>
      </c>
      <c r="F8" s="238"/>
      <c r="G8" s="238">
        <f>E8*$C$8</f>
        <v>73953.75</v>
      </c>
      <c r="H8" s="238"/>
      <c r="I8" s="238">
        <f>G8*$C$8</f>
        <v>75802.59375</v>
      </c>
      <c r="J8" s="238"/>
      <c r="K8" s="238">
        <f>I8*$C$8</f>
        <v>77697.658593749991</v>
      </c>
      <c r="L8" s="238"/>
      <c r="M8" s="238">
        <f>K8*$C$8</f>
        <v>79640.100058593729</v>
      </c>
      <c r="N8" s="238"/>
      <c r="O8" s="238">
        <f>M8*$C$8</f>
        <v>81631.102560058571</v>
      </c>
      <c r="P8" s="238"/>
      <c r="Q8" s="238">
        <f>O8*$C$8</f>
        <v>83671.88012406003</v>
      </c>
      <c r="R8" s="238"/>
      <c r="S8" s="238">
        <f>Q8*$C$8</f>
        <v>85763.677127161529</v>
      </c>
      <c r="T8" s="238"/>
      <c r="U8" s="238">
        <f>S8*$C$8</f>
        <v>87907.769055340555</v>
      </c>
      <c r="V8" s="238"/>
      <c r="W8" s="238">
        <f>U8*$C$8</f>
        <v>90105.463281724064</v>
      </c>
      <c r="X8" s="238"/>
      <c r="Y8" s="238">
        <f>W8*$C$8</f>
        <v>92358.099863767158</v>
      </c>
      <c r="Z8" s="238"/>
      <c r="AA8" s="238">
        <f>Y8*$C$8</f>
        <v>94667.052360361326</v>
      </c>
      <c r="AB8" s="238"/>
      <c r="AC8" s="238">
        <f>AA8*$C$8</f>
        <v>97033.72866937035</v>
      </c>
      <c r="AD8" s="238"/>
      <c r="AE8" s="238">
        <f>AC8*$C$8</f>
        <v>99459.571886104604</v>
      </c>
      <c r="AF8" s="238"/>
      <c r="AG8" s="238">
        <f>AE8*$C$8</f>
        <v>101946.06118325722</v>
      </c>
    </row>
    <row r="9" spans="1:34" s="225" customFormat="1" ht="14">
      <c r="B9" s="225" t="s">
        <v>847</v>
      </c>
      <c r="C9" s="254">
        <f>IF(Application!$D$211="Special Needs",0.1,0.05)</f>
        <v>0.05</v>
      </c>
      <c r="E9" s="237">
        <f>-E8*$C$9</f>
        <v>-3607.5</v>
      </c>
      <c r="F9" s="237"/>
      <c r="G9" s="237">
        <f>-G8*$C$9</f>
        <v>-3697.6875</v>
      </c>
      <c r="H9" s="237"/>
      <c r="I9" s="237">
        <f>-I8*$C$9</f>
        <v>-3790.1296875000003</v>
      </c>
      <c r="J9" s="237"/>
      <c r="K9" s="237">
        <f>-K8*$C$9</f>
        <v>-3884.8829296874997</v>
      </c>
      <c r="L9" s="237"/>
      <c r="M9" s="237">
        <f>-M8*$C$9</f>
        <v>-3982.0050029296867</v>
      </c>
      <c r="N9" s="237"/>
      <c r="O9" s="237">
        <f>-O8*$C$9</f>
        <v>-4081.5551280029285</v>
      </c>
      <c r="P9" s="237"/>
      <c r="Q9" s="237">
        <f>-Q8*$C$9</f>
        <v>-4183.5940062030013</v>
      </c>
      <c r="R9" s="237"/>
      <c r="S9" s="237">
        <f>-S8*$C$9</f>
        <v>-4288.1838563580768</v>
      </c>
      <c r="T9" s="237"/>
      <c r="U9" s="237">
        <f>-U8*$C$9</f>
        <v>-4395.388452767028</v>
      </c>
      <c r="V9" s="237"/>
      <c r="W9" s="237">
        <f>-W8*$C$9</f>
        <v>-4505.273164086203</v>
      </c>
      <c r="X9" s="237"/>
      <c r="Y9" s="237">
        <f>-Y8*$C$9</f>
        <v>-4617.9049931883583</v>
      </c>
      <c r="Z9" s="237"/>
      <c r="AA9" s="237">
        <f>-AA8*$C$9</f>
        <v>-4733.3526180180661</v>
      </c>
      <c r="AB9" s="237"/>
      <c r="AC9" s="237">
        <f>-AC8*$C$9</f>
        <v>-4851.6864334685179</v>
      </c>
      <c r="AD9" s="237"/>
      <c r="AE9" s="237">
        <f>-AE8*$C$9</f>
        <v>-4972.9785943052302</v>
      </c>
      <c r="AF9" s="237"/>
      <c r="AG9" s="237">
        <f>-AG8*$C$9</f>
        <v>-5097.3030591628612</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8959949.6999999993</v>
      </c>
      <c r="G11" s="239">
        <f>SUM(G4:G10)</f>
        <v>9183948.442499999</v>
      </c>
      <c r="I11" s="239">
        <f>SUM(I4:I10)</f>
        <v>9413547.1535624992</v>
      </c>
      <c r="K11" s="239">
        <f>SUM(K4:K10)</f>
        <v>9648885.8324015588</v>
      </c>
      <c r="M11" s="239">
        <f>SUM(M4:M10)</f>
        <v>9890107.9782115985</v>
      </c>
      <c r="O11" s="239">
        <f>SUM(O4:O10)</f>
        <v>10137360.677666888</v>
      </c>
      <c r="Q11" s="239">
        <f>SUM(Q4:Q10)</f>
        <v>10390794.694608558</v>
      </c>
      <c r="S11" s="239">
        <f>SUM(S4:S10)</f>
        <v>10650564.561973771</v>
      </c>
      <c r="U11" s="239">
        <f>SUM(U4:U10)</f>
        <v>10916828.676023116</v>
      </c>
      <c r="W11" s="239">
        <f>SUM(W4:W10)</f>
        <v>11189749.392923694</v>
      </c>
      <c r="Y11" s="239">
        <f>SUM(Y4:Y10)</f>
        <v>11469493.127746785</v>
      </c>
      <c r="AA11" s="239">
        <f>SUM(AA4:AA10)</f>
        <v>11756230.455940451</v>
      </c>
      <c r="AC11" s="239">
        <f>SUM(AC4:AC10)</f>
        <v>12050136.217338962</v>
      </c>
      <c r="AE11" s="239">
        <f>SUM(AE4:AE10)</f>
        <v>12351389.622772437</v>
      </c>
      <c r="AG11" s="239">
        <f>SUM(AG4:AG10)</f>
        <v>12660174.363341745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71970</v>
      </c>
      <c r="G15" s="235">
        <f>E15*$C$14</f>
        <v>74488.95</v>
      </c>
      <c r="I15" s="235">
        <f>G15*$C$14</f>
        <v>77096.063249999992</v>
      </c>
      <c r="K15" s="235">
        <f>I15*$C$14</f>
        <v>79794.425463749983</v>
      </c>
      <c r="M15" s="235">
        <f>K15*$C$14</f>
        <v>82587.23035498122</v>
      </c>
      <c r="O15" s="235">
        <f>M15*$C$14</f>
        <v>85477.783417405561</v>
      </c>
      <c r="Q15" s="235">
        <f>O15*$C$14</f>
        <v>88469.505837014745</v>
      </c>
      <c r="S15" s="235">
        <f>Q15*$C$14</f>
        <v>91565.938541310257</v>
      </c>
      <c r="U15" s="235">
        <f>S15*$C$14</f>
        <v>94770.746390256114</v>
      </c>
      <c r="W15" s="235">
        <f>U15*$C$14</f>
        <v>98087.722513915069</v>
      </c>
      <c r="Y15" s="235">
        <f>W15*$C$14</f>
        <v>101520.79280190209</v>
      </c>
      <c r="AA15" s="235">
        <f>Y15*$C$14</f>
        <v>105074.02054996866</v>
      </c>
      <c r="AC15" s="235">
        <f>AA15*$C$14</f>
        <v>108751.61126921755</v>
      </c>
      <c r="AE15" s="235">
        <f>AC15*$C$14</f>
        <v>112557.91766364015</v>
      </c>
      <c r="AG15" s="235">
        <f>AE15*$C$14</f>
        <v>116497.44478186755</v>
      </c>
    </row>
    <row r="16" spans="1:34" s="225" customFormat="1" ht="14">
      <c r="A16" s="225" t="s">
        <v>344</v>
      </c>
      <c r="C16" s="249"/>
      <c r="E16" s="238">
        <f>Application!W849</f>
        <v>266600</v>
      </c>
      <c r="F16" s="238"/>
      <c r="G16" s="238">
        <f t="shared" ref="G16:AG21" si="0">E16*$C$14</f>
        <v>275931</v>
      </c>
      <c r="H16" s="238"/>
      <c r="I16" s="238">
        <f t="shared" si="0"/>
        <v>285588.58499999996</v>
      </c>
      <c r="J16" s="238"/>
      <c r="K16" s="238">
        <f t="shared" si="0"/>
        <v>295584.18547499995</v>
      </c>
      <c r="L16" s="238"/>
      <c r="M16" s="238">
        <f t="shared" si="0"/>
        <v>305929.63196662493</v>
      </c>
      <c r="N16" s="238"/>
      <c r="O16" s="238">
        <f t="shared" si="0"/>
        <v>316637.16908545676</v>
      </c>
      <c r="P16" s="238"/>
      <c r="Q16" s="238">
        <f t="shared" si="0"/>
        <v>327719.47000344773</v>
      </c>
      <c r="R16" s="238"/>
      <c r="S16" s="238">
        <f t="shared" si="0"/>
        <v>339189.65145356837</v>
      </c>
      <c r="T16" s="238"/>
      <c r="U16" s="238">
        <f t="shared" si="0"/>
        <v>351061.28925444325</v>
      </c>
      <c r="V16" s="238"/>
      <c r="W16" s="238">
        <f t="shared" si="0"/>
        <v>363348.43437834876</v>
      </c>
      <c r="X16" s="238"/>
      <c r="Y16" s="238">
        <f t="shared" si="0"/>
        <v>376065.62958159094</v>
      </c>
      <c r="Z16" s="238"/>
      <c r="AA16" s="238">
        <f t="shared" si="0"/>
        <v>389227.92661694658</v>
      </c>
      <c r="AB16" s="238"/>
      <c r="AC16" s="238">
        <f t="shared" si="0"/>
        <v>402850.9040485397</v>
      </c>
      <c r="AD16" s="238"/>
      <c r="AE16" s="238">
        <f t="shared" si="0"/>
        <v>416950.68569023855</v>
      </c>
      <c r="AF16" s="238"/>
      <c r="AG16" s="238">
        <f t="shared" si="0"/>
        <v>431543.95968939684</v>
      </c>
    </row>
    <row r="17" spans="1:33" s="225" customFormat="1" ht="14">
      <c r="A17" s="225" t="s">
        <v>568</v>
      </c>
      <c r="C17" s="249"/>
      <c r="E17" s="238">
        <f>Application!W855</f>
        <v>774900</v>
      </c>
      <c r="F17" s="238"/>
      <c r="G17" s="238">
        <f t="shared" si="0"/>
        <v>802021.49999999988</v>
      </c>
      <c r="H17" s="238"/>
      <c r="I17" s="238">
        <f t="shared" si="0"/>
        <v>830092.25249999983</v>
      </c>
      <c r="J17" s="238"/>
      <c r="K17" s="238">
        <f t="shared" si="0"/>
        <v>859145.4813374998</v>
      </c>
      <c r="L17" s="238"/>
      <c r="M17" s="238">
        <f t="shared" si="0"/>
        <v>889215.5731843122</v>
      </c>
      <c r="N17" s="238"/>
      <c r="O17" s="238">
        <f t="shared" si="0"/>
        <v>920338.11824576301</v>
      </c>
      <c r="P17" s="238"/>
      <c r="Q17" s="238">
        <f t="shared" si="0"/>
        <v>952549.95238436467</v>
      </c>
      <c r="R17" s="238"/>
      <c r="S17" s="238">
        <f t="shared" si="0"/>
        <v>985889.20071781741</v>
      </c>
      <c r="T17" s="238"/>
      <c r="U17" s="238">
        <f t="shared" si="0"/>
        <v>1020395.322742941</v>
      </c>
      <c r="V17" s="238"/>
      <c r="W17" s="238">
        <f t="shared" si="0"/>
        <v>1056109.1590389439</v>
      </c>
      <c r="X17" s="238"/>
      <c r="Y17" s="238">
        <f t="shared" si="0"/>
        <v>1093072.9796053069</v>
      </c>
      <c r="Z17" s="238"/>
      <c r="AA17" s="238">
        <f t="shared" si="0"/>
        <v>1131330.5338914925</v>
      </c>
      <c r="AB17" s="238"/>
      <c r="AC17" s="238">
        <f t="shared" si="0"/>
        <v>1170927.1025776947</v>
      </c>
      <c r="AD17" s="238"/>
      <c r="AE17" s="238">
        <f t="shared" si="0"/>
        <v>1211909.5511679139</v>
      </c>
      <c r="AF17" s="238"/>
      <c r="AG17" s="238">
        <f t="shared" si="0"/>
        <v>1254326.3854587909</v>
      </c>
    </row>
    <row r="18" spans="1:33" s="225" customFormat="1" ht="14">
      <c r="A18" s="225" t="s">
        <v>851</v>
      </c>
      <c r="C18" s="249"/>
      <c r="E18" s="238">
        <f>Application!W862</f>
        <v>700080</v>
      </c>
      <c r="F18" s="238"/>
      <c r="G18" s="238">
        <f t="shared" si="0"/>
        <v>724582.79999999993</v>
      </c>
      <c r="H18" s="238"/>
      <c r="I18" s="238">
        <f t="shared" si="0"/>
        <v>749943.19799999986</v>
      </c>
      <c r="J18" s="238"/>
      <c r="K18" s="238">
        <f t="shared" si="0"/>
        <v>776191.20992999978</v>
      </c>
      <c r="L18" s="238"/>
      <c r="M18" s="238">
        <f t="shared" si="0"/>
        <v>803357.90227754973</v>
      </c>
      <c r="N18" s="238"/>
      <c r="O18" s="238">
        <f t="shared" si="0"/>
        <v>831475.42885726388</v>
      </c>
      <c r="P18" s="238"/>
      <c r="Q18" s="238">
        <f t="shared" si="0"/>
        <v>860577.06886726804</v>
      </c>
      <c r="R18" s="238"/>
      <c r="S18" s="238">
        <f t="shared" si="0"/>
        <v>890697.26627762232</v>
      </c>
      <c r="T18" s="238"/>
      <c r="U18" s="238">
        <f t="shared" si="0"/>
        <v>921871.67059733905</v>
      </c>
      <c r="V18" s="238"/>
      <c r="W18" s="238">
        <f t="shared" si="0"/>
        <v>954137.17906824581</v>
      </c>
      <c r="X18" s="238"/>
      <c r="Y18" s="238">
        <f t="shared" si="0"/>
        <v>987531.98033563432</v>
      </c>
      <c r="Z18" s="238"/>
      <c r="AA18" s="238">
        <f t="shared" si="0"/>
        <v>1022095.5996473815</v>
      </c>
      <c r="AB18" s="238"/>
      <c r="AC18" s="238">
        <f t="shared" si="0"/>
        <v>1057868.9456350398</v>
      </c>
      <c r="AD18" s="238"/>
      <c r="AE18" s="238">
        <f t="shared" si="0"/>
        <v>1094894.3587322661</v>
      </c>
      <c r="AF18" s="238"/>
      <c r="AG18" s="238">
        <f t="shared" si="0"/>
        <v>1133215.6612878954</v>
      </c>
    </row>
    <row r="19" spans="1:33" s="225" customFormat="1" ht="14">
      <c r="A19" s="225" t="s">
        <v>155</v>
      </c>
      <c r="C19" s="249"/>
      <c r="E19" s="238">
        <f>Application!W863</f>
        <v>216450</v>
      </c>
      <c r="F19" s="238"/>
      <c r="G19" s="238">
        <f t="shared" si="0"/>
        <v>224025.74999999997</v>
      </c>
      <c r="H19" s="238"/>
      <c r="I19" s="238">
        <f t="shared" si="0"/>
        <v>231866.65124999997</v>
      </c>
      <c r="J19" s="238"/>
      <c r="K19" s="238">
        <f t="shared" si="0"/>
        <v>239981.98404374995</v>
      </c>
      <c r="L19" s="238"/>
      <c r="M19" s="238">
        <f t="shared" si="0"/>
        <v>248381.35348528117</v>
      </c>
      <c r="N19" s="238"/>
      <c r="O19" s="238">
        <f t="shared" si="0"/>
        <v>257074.700857266</v>
      </c>
      <c r="P19" s="238"/>
      <c r="Q19" s="238">
        <f t="shared" si="0"/>
        <v>266072.3153872703</v>
      </c>
      <c r="R19" s="238"/>
      <c r="S19" s="238">
        <f t="shared" si="0"/>
        <v>275384.84642582474</v>
      </c>
      <c r="T19" s="238"/>
      <c r="U19" s="238">
        <f t="shared" si="0"/>
        <v>285023.31605072861</v>
      </c>
      <c r="V19" s="238"/>
      <c r="W19" s="238">
        <f t="shared" si="0"/>
        <v>294999.1321125041</v>
      </c>
      <c r="X19" s="238"/>
      <c r="Y19" s="238">
        <f t="shared" si="0"/>
        <v>305324.10173644172</v>
      </c>
      <c r="Z19" s="238"/>
      <c r="AA19" s="238">
        <f t="shared" si="0"/>
        <v>316010.44529721717</v>
      </c>
      <c r="AB19" s="238"/>
      <c r="AC19" s="238">
        <f t="shared" si="0"/>
        <v>327070.81088261976</v>
      </c>
      <c r="AD19" s="238"/>
      <c r="AE19" s="238">
        <f t="shared" si="0"/>
        <v>338518.28926351143</v>
      </c>
      <c r="AF19" s="238"/>
      <c r="AG19" s="238">
        <f t="shared" si="0"/>
        <v>350366.42938773427</v>
      </c>
    </row>
    <row r="20" spans="1:33" s="225" customFormat="1" ht="14">
      <c r="A20" s="225" t="s">
        <v>390</v>
      </c>
      <c r="C20" s="249"/>
      <c r="E20" s="238">
        <f>Application!W872</f>
        <v>948100</v>
      </c>
      <c r="F20" s="238"/>
      <c r="G20" s="238">
        <f t="shared" si="0"/>
        <v>981283.49999999988</v>
      </c>
      <c r="H20" s="238"/>
      <c r="I20" s="238">
        <f t="shared" si="0"/>
        <v>1015628.4224999998</v>
      </c>
      <c r="J20" s="238"/>
      <c r="K20" s="238">
        <f t="shared" si="0"/>
        <v>1051175.4172874996</v>
      </c>
      <c r="L20" s="238"/>
      <c r="M20" s="238">
        <f t="shared" si="0"/>
        <v>1087966.556892562</v>
      </c>
      <c r="N20" s="238"/>
      <c r="O20" s="238">
        <f t="shared" si="0"/>
        <v>1126045.3863838015</v>
      </c>
      <c r="P20" s="238"/>
      <c r="Q20" s="238">
        <f t="shared" si="0"/>
        <v>1165456.9749072343</v>
      </c>
      <c r="R20" s="238"/>
      <c r="S20" s="238">
        <f t="shared" si="0"/>
        <v>1206247.9690289875</v>
      </c>
      <c r="T20" s="238"/>
      <c r="U20" s="238">
        <f t="shared" si="0"/>
        <v>1248466.647945002</v>
      </c>
      <c r="V20" s="238"/>
      <c r="W20" s="238">
        <f t="shared" si="0"/>
        <v>1292162.9806230769</v>
      </c>
      <c r="X20" s="238"/>
      <c r="Y20" s="238">
        <f t="shared" si="0"/>
        <v>1337388.6849448844</v>
      </c>
      <c r="Z20" s="238"/>
      <c r="AA20" s="238">
        <f t="shared" si="0"/>
        <v>1384197.2889179552</v>
      </c>
      <c r="AB20" s="238"/>
      <c r="AC20" s="238">
        <f t="shared" si="0"/>
        <v>1432644.1940300835</v>
      </c>
      <c r="AD20" s="238"/>
      <c r="AE20" s="238">
        <f t="shared" si="0"/>
        <v>1482786.7408211364</v>
      </c>
      <c r="AF20" s="238"/>
      <c r="AG20" s="238">
        <f t="shared" si="0"/>
        <v>1534684.2767498761</v>
      </c>
    </row>
    <row r="21" spans="1:33" s="225" customFormat="1" ht="14">
      <c r="A21" s="242" t="s">
        <v>2737</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2979250</v>
      </c>
      <c r="G22" s="239">
        <f>SUM(G15:G21)</f>
        <v>3083523.75</v>
      </c>
      <c r="I22" s="239">
        <f>SUM(I15:I21)</f>
        <v>3191447.0812499993</v>
      </c>
      <c r="K22" s="239">
        <f>SUM(K15:K21)</f>
        <v>3303147.7290937491</v>
      </c>
      <c r="M22" s="239">
        <f>SUM(M15:M21)</f>
        <v>3418757.89961203</v>
      </c>
      <c r="O22" s="239">
        <f>SUM(O15:O21)</f>
        <v>3538414.426098451</v>
      </c>
      <c r="Q22" s="239">
        <f>SUM(Q15:Q21)</f>
        <v>3662258.9310118961</v>
      </c>
      <c r="S22" s="239">
        <f>SUM(S15:S21)</f>
        <v>3790437.9935973124</v>
      </c>
      <c r="U22" s="239">
        <f>SUM(U15:U21)</f>
        <v>3923103.3233732181</v>
      </c>
      <c r="W22" s="239">
        <f>SUM(W15:W21)</f>
        <v>4060411.9396912795</v>
      </c>
      <c r="Y22" s="239">
        <f>SUM(Y15:Y21)</f>
        <v>4202526.3575804755</v>
      </c>
      <c r="AA22" s="239">
        <f>SUM(AA15:AA21)</f>
        <v>4349614.7800957914</v>
      </c>
      <c r="AC22" s="239">
        <f>SUM(AC15:AC21)</f>
        <v>4501851.2973991437</v>
      </c>
      <c r="AE22" s="239">
        <f>SUM(AE15:AE21)</f>
        <v>4659416.0928081134</v>
      </c>
      <c r="AG22" s="239">
        <f>SUM(AG15:AG21)</f>
        <v>4822495.6560563967</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26000</v>
      </c>
      <c r="F27" s="238"/>
      <c r="G27" s="238">
        <f>E27*$C$27</f>
        <v>26909.999999999996</v>
      </c>
      <c r="H27" s="238"/>
      <c r="I27" s="238">
        <f>G27*$C$27</f>
        <v>27851.849999999995</v>
      </c>
      <c r="J27" s="238"/>
      <c r="K27" s="238">
        <f>I27*$C$27</f>
        <v>28826.664749999993</v>
      </c>
      <c r="L27" s="238"/>
      <c r="M27" s="238">
        <f>K27*$C$27</f>
        <v>29835.598016249991</v>
      </c>
      <c r="N27" s="238"/>
      <c r="O27" s="238">
        <f>M27*$C$27</f>
        <v>30879.843946818739</v>
      </c>
      <c r="P27" s="238"/>
      <c r="Q27" s="238">
        <f>O27*$C$27</f>
        <v>31960.638484957391</v>
      </c>
      <c r="R27" s="238"/>
      <c r="S27" s="238">
        <f>Q27*$C$27</f>
        <v>33079.2608319309</v>
      </c>
      <c r="T27" s="238"/>
      <c r="U27" s="238">
        <f>S27*$C$27</f>
        <v>34237.034961048477</v>
      </c>
      <c r="V27" s="238"/>
      <c r="W27" s="238">
        <f>U27*$C$27</f>
        <v>35435.331184685172</v>
      </c>
      <c r="X27" s="238"/>
      <c r="Y27" s="238">
        <f>W27*$C$27</f>
        <v>36675.567776149153</v>
      </c>
      <c r="Z27" s="238"/>
      <c r="AA27" s="238">
        <f>Y27*$C$27</f>
        <v>37959.212648314373</v>
      </c>
      <c r="AB27" s="238"/>
      <c r="AC27" s="238">
        <f>AA27*$C$27</f>
        <v>39287.785091005375</v>
      </c>
      <c r="AD27" s="238"/>
      <c r="AE27" s="238">
        <f>AC27*$C$27</f>
        <v>40662.857569190557</v>
      </c>
      <c r="AF27" s="238"/>
      <c r="AG27" s="238">
        <f>AE27*$C$27</f>
        <v>42086.057584112226</v>
      </c>
    </row>
    <row r="28" spans="1:33" s="225" customFormat="1" ht="14">
      <c r="A28" s="225" t="s">
        <v>855</v>
      </c>
      <c r="C28" s="253"/>
      <c r="E28" s="238">
        <f>Application!AC889</f>
        <v>120250</v>
      </c>
      <c r="F28" s="238"/>
      <c r="G28" s="238">
        <f>$E$28</f>
        <v>120250</v>
      </c>
      <c r="H28" s="238"/>
      <c r="I28" s="238">
        <f>$E$28</f>
        <v>120250</v>
      </c>
      <c r="J28" s="238"/>
      <c r="K28" s="238">
        <f>$E$28</f>
        <v>120250</v>
      </c>
      <c r="L28" s="238"/>
      <c r="M28" s="238">
        <f>$E$28</f>
        <v>120250</v>
      </c>
      <c r="N28" s="238"/>
      <c r="O28" s="238">
        <f>$E$28</f>
        <v>120250</v>
      </c>
      <c r="P28" s="238"/>
      <c r="Q28" s="238">
        <f>$E$28</f>
        <v>120250</v>
      </c>
      <c r="R28" s="238"/>
      <c r="S28" s="238">
        <f>$E$28</f>
        <v>120250</v>
      </c>
      <c r="T28" s="238"/>
      <c r="U28" s="238">
        <f>$E$28</f>
        <v>120250</v>
      </c>
      <c r="V28" s="238"/>
      <c r="W28" s="238">
        <f>$E$28</f>
        <v>120250</v>
      </c>
      <c r="X28" s="238"/>
      <c r="Y28" s="238">
        <f>$E$28</f>
        <v>120250</v>
      </c>
      <c r="Z28" s="238"/>
      <c r="AA28" s="238">
        <f>$E$28</f>
        <v>120250</v>
      </c>
      <c r="AB28" s="238"/>
      <c r="AC28" s="238">
        <f>$E$28</f>
        <v>120250</v>
      </c>
      <c r="AD28" s="238"/>
      <c r="AE28" s="238">
        <f>$E$28</f>
        <v>120250</v>
      </c>
      <c r="AF28" s="238"/>
      <c r="AG28" s="238">
        <f>$E$28</f>
        <v>120250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12500</v>
      </c>
      <c r="F30" s="238"/>
      <c r="G30" s="238">
        <f>E30*$C$30</f>
        <v>12750</v>
      </c>
      <c r="H30" s="238"/>
      <c r="I30" s="238">
        <f>G30*$C$30</f>
        <v>13005</v>
      </c>
      <c r="J30" s="238"/>
      <c r="K30" s="238">
        <f>I30*$C$30</f>
        <v>13265.1</v>
      </c>
      <c r="L30" s="238"/>
      <c r="M30" s="238">
        <f>K30*$C$30</f>
        <v>13530.402</v>
      </c>
      <c r="N30" s="238"/>
      <c r="O30" s="238">
        <f>M30*$C$30</f>
        <v>13801.010040000001</v>
      </c>
      <c r="P30" s="238"/>
      <c r="Q30" s="238">
        <f>O30*$C$30</f>
        <v>14077.030240800001</v>
      </c>
      <c r="R30" s="238"/>
      <c r="S30" s="238">
        <f>Q30*$C$30</f>
        <v>14358.570845616001</v>
      </c>
      <c r="T30" s="238"/>
      <c r="U30" s="238">
        <f>S30*$C$30</f>
        <v>14645.742262528322</v>
      </c>
      <c r="V30" s="238"/>
      <c r="W30" s="238">
        <f>U30*$C$30</f>
        <v>14938.657107778889</v>
      </c>
      <c r="X30" s="238"/>
      <c r="Y30" s="238">
        <f>W30*$C$30</f>
        <v>15237.430249934467</v>
      </c>
      <c r="Z30" s="238"/>
      <c r="AA30" s="238">
        <f>Y30*$C$30</f>
        <v>15542.178854933156</v>
      </c>
      <c r="AB30" s="238"/>
      <c r="AC30" s="238">
        <f>AA30*$C$30</f>
        <v>15853.022432031819</v>
      </c>
      <c r="AD30" s="238"/>
      <c r="AE30" s="238">
        <f>AC30*$C$30</f>
        <v>16170.082880672457</v>
      </c>
      <c r="AF30" s="238"/>
      <c r="AG30" s="238">
        <f>AE30*$C$30</f>
        <v>16493.484538285906</v>
      </c>
    </row>
    <row r="31" spans="1:33" s="225" customFormat="1" ht="14">
      <c r="A31" s="225" t="s">
        <v>1865</v>
      </c>
      <c r="C31" s="253">
        <v>1.02</v>
      </c>
      <c r="E31" s="238">
        <f>Application!AC892</f>
        <v>171500</v>
      </c>
      <c r="F31" s="238"/>
      <c r="G31" s="238">
        <f>E31*$C$31</f>
        <v>174930</v>
      </c>
      <c r="H31" s="238"/>
      <c r="I31" s="238">
        <f>G31*$C$31</f>
        <v>178428.6</v>
      </c>
      <c r="J31" s="238"/>
      <c r="K31" s="238">
        <f>I31*$C$31</f>
        <v>181997.17200000002</v>
      </c>
      <c r="L31" s="238"/>
      <c r="M31" s="238">
        <f>K31*$C$31</f>
        <v>185637.11544000002</v>
      </c>
      <c r="N31" s="238"/>
      <c r="O31" s="238">
        <f>M31*$C$31</f>
        <v>189349.85774880002</v>
      </c>
      <c r="P31" s="238"/>
      <c r="Q31" s="238">
        <f>O31*$C$31</f>
        <v>193136.85490377602</v>
      </c>
      <c r="R31" s="238"/>
      <c r="S31" s="238">
        <f>Q31*$C$31</f>
        <v>196999.59200185156</v>
      </c>
      <c r="T31" s="238"/>
      <c r="U31" s="238">
        <f>S31*$C$31</f>
        <v>200939.58384188858</v>
      </c>
      <c r="V31" s="238"/>
      <c r="W31" s="238">
        <f>U31*$C$31</f>
        <v>204958.37551872636</v>
      </c>
      <c r="X31" s="238"/>
      <c r="Y31" s="238">
        <f>W31*$C$31</f>
        <v>209057.5430291009</v>
      </c>
      <c r="Z31" s="238"/>
      <c r="AA31" s="238">
        <f>Y31*$C$31</f>
        <v>213238.69388968291</v>
      </c>
      <c r="AB31" s="238"/>
      <c r="AC31" s="238">
        <f>AA31*$C$31</f>
        <v>217503.46776747657</v>
      </c>
      <c r="AD31" s="238"/>
      <c r="AE31" s="238">
        <f>AC31*$C$31</f>
        <v>221853.53712282609</v>
      </c>
      <c r="AF31" s="238"/>
      <c r="AG31" s="238">
        <f>AE31*$C$31</f>
        <v>226290.60786528263</v>
      </c>
    </row>
    <row r="32" spans="1:33" s="225" customFormat="1" ht="14">
      <c r="A32" s="225" t="str">
        <f>Application!C893</f>
        <v>Annual Issuer &amp; Trustee Fees:</v>
      </c>
      <c r="C32" s="340">
        <v>1.0349999999999999</v>
      </c>
      <c r="E32" s="238">
        <f>Application!AC893</f>
        <v>57500</v>
      </c>
      <c r="F32" s="238"/>
      <c r="G32" s="238">
        <f>E32*$C$32</f>
        <v>59512.499999999993</v>
      </c>
      <c r="H32" s="238"/>
      <c r="I32" s="238">
        <f>G32*$C$32</f>
        <v>61595.437499999985</v>
      </c>
      <c r="J32" s="238"/>
      <c r="K32" s="238">
        <f>I32*$C$32</f>
        <v>63751.277812499982</v>
      </c>
      <c r="L32" s="238"/>
      <c r="M32" s="238">
        <f>K32*$C$32</f>
        <v>65982.572535937477</v>
      </c>
      <c r="N32" s="238"/>
      <c r="O32" s="238">
        <f>M32*$C$32</f>
        <v>68291.962574695281</v>
      </c>
      <c r="P32" s="238"/>
      <c r="Q32" s="238">
        <f>O32*$C$32</f>
        <v>70682.181264809609</v>
      </c>
      <c r="R32" s="238"/>
      <c r="S32" s="238">
        <f>Q32*$C$32</f>
        <v>73156.057609077936</v>
      </c>
      <c r="T32" s="238"/>
      <c r="U32" s="238">
        <f>S32*$C$32</f>
        <v>75716.519625395653</v>
      </c>
      <c r="V32" s="238"/>
      <c r="W32" s="238">
        <f>U32*$C$32</f>
        <v>78366.597812284497</v>
      </c>
      <c r="X32" s="238"/>
      <c r="Y32" s="238">
        <f>W32*$C$32</f>
        <v>81109.428735714449</v>
      </c>
      <c r="Z32" s="238"/>
      <c r="AA32" s="238">
        <f>Y32*$C$32</f>
        <v>83948.258741464451</v>
      </c>
      <c r="AB32" s="238"/>
      <c r="AC32" s="238">
        <f>AA32*$C$32</f>
        <v>86886.447797415705</v>
      </c>
      <c r="AD32" s="238"/>
      <c r="AE32" s="238">
        <f>AC32*$C$32</f>
        <v>89927.473470325247</v>
      </c>
      <c r="AF32" s="238"/>
      <c r="AG32" s="238">
        <f>AE32*$C$32</f>
        <v>93074.935041786623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3367000</v>
      </c>
      <c r="G35" s="239">
        <f>SUM(G22:G33)</f>
        <v>3477876.25</v>
      </c>
      <c r="I35" s="239">
        <f>SUM(I22:I33)</f>
        <v>3592577.9687499995</v>
      </c>
      <c r="K35" s="239">
        <f>SUM(K22:K33)</f>
        <v>3711237.9436562494</v>
      </c>
      <c r="M35" s="239">
        <f>SUM(M22:M33)</f>
        <v>3833993.5876042172</v>
      </c>
      <c r="O35" s="239">
        <f>SUM(O22:O33)</f>
        <v>3960987.100408765</v>
      </c>
      <c r="Q35" s="239">
        <f>SUM(Q22:Q33)</f>
        <v>4092365.6359062395</v>
      </c>
      <c r="S35" s="239">
        <f>SUM(S22:S33)</f>
        <v>4228281.4748857887</v>
      </c>
      <c r="U35" s="239">
        <f>SUM(U22:U33)</f>
        <v>4368892.2040640786</v>
      </c>
      <c r="W35" s="239">
        <f>SUM(W22:W33)</f>
        <v>4514360.901314754</v>
      </c>
      <c r="Y35" s="239">
        <f>SUM(Y22:Y33)</f>
        <v>4664856.3273713738</v>
      </c>
      <c r="AA35" s="239">
        <f>SUM(AA22:AA33)</f>
        <v>4820553.1242301865</v>
      </c>
      <c r="AC35" s="239">
        <f>SUM(AC22:AC33)</f>
        <v>4981632.0204870738</v>
      </c>
      <c r="AE35" s="239">
        <f>SUM(AE22:AE33)</f>
        <v>5148280.0438511278</v>
      </c>
      <c r="AG35" s="239">
        <f>SUM(AG22:AG33)</f>
        <v>5320690.7410858637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5592949.6999999993</v>
      </c>
      <c r="G37" s="239">
        <f>G11-G35</f>
        <v>5706072.192499999</v>
      </c>
      <c r="I37" s="239">
        <f>I11-I35</f>
        <v>5820969.1848124992</v>
      </c>
      <c r="K37" s="239">
        <f>K11-K35</f>
        <v>5937647.8887453098</v>
      </c>
      <c r="M37" s="239">
        <f>M11-M35</f>
        <v>6056114.3906073812</v>
      </c>
      <c r="O37" s="239">
        <f>O11-O35</f>
        <v>6176373.5772581231</v>
      </c>
      <c r="Q37" s="239">
        <f>Q11-Q35</f>
        <v>6298429.058702318</v>
      </c>
      <c r="S37" s="239">
        <f>S11-S35</f>
        <v>6422283.0870879823</v>
      </c>
      <c r="U37" s="239">
        <f>U11-U35</f>
        <v>6547936.4719590377</v>
      </c>
      <c r="W37" s="239">
        <f>W11-W35</f>
        <v>6675388.4916089401</v>
      </c>
      <c r="Y37" s="239">
        <f>Y11-Y35</f>
        <v>6804636.8003754113</v>
      </c>
      <c r="AA37" s="239">
        <f>AA11-AA35</f>
        <v>6935677.331710265</v>
      </c>
      <c r="AC37" s="239">
        <f>AC11-AC35</f>
        <v>7068504.1968518887</v>
      </c>
      <c r="AE37" s="239">
        <f>AE11-AE35</f>
        <v>7203109.5789213087</v>
      </c>
      <c r="AG37" s="239">
        <f>AG11-AG35</f>
        <v>7339483.6222558813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4687824</v>
      </c>
      <c r="F40" s="238"/>
      <c r="G40" s="238">
        <f>$E$40</f>
        <v>4687824</v>
      </c>
      <c r="H40" s="238"/>
      <c r="I40" s="238">
        <f>$E$40</f>
        <v>4687824</v>
      </c>
      <c r="J40" s="238"/>
      <c r="K40" s="238">
        <f>$E$40</f>
        <v>4687824</v>
      </c>
      <c r="L40" s="238"/>
      <c r="M40" s="238">
        <f>$E$40</f>
        <v>4687824</v>
      </c>
      <c r="N40" s="238"/>
      <c r="O40" s="238">
        <f>$E$40</f>
        <v>4687824</v>
      </c>
      <c r="P40" s="238"/>
      <c r="Q40" s="238">
        <f>$E$40</f>
        <v>4687824</v>
      </c>
      <c r="R40" s="238"/>
      <c r="S40" s="238">
        <f>$E$40</f>
        <v>4687824</v>
      </c>
      <c r="T40" s="238"/>
      <c r="U40" s="238">
        <f>$E$40</f>
        <v>4687824</v>
      </c>
      <c r="V40" s="238"/>
      <c r="W40" s="238">
        <f>$E$40</f>
        <v>4687824</v>
      </c>
      <c r="X40" s="238"/>
      <c r="Y40" s="238">
        <f>$E$40</f>
        <v>4687824</v>
      </c>
      <c r="Z40" s="238"/>
      <c r="AA40" s="238">
        <f>$E$40</f>
        <v>4687824</v>
      </c>
      <c r="AB40" s="238"/>
      <c r="AC40" s="238">
        <f>$E$40</f>
        <v>4687824</v>
      </c>
      <c r="AD40" s="238"/>
      <c r="AE40" s="238">
        <f>$E$40</f>
        <v>4687824</v>
      </c>
      <c r="AF40" s="238"/>
      <c r="AG40" s="238">
        <f>$E$40</f>
        <v>4687824</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4687824</v>
      </c>
      <c r="G43" s="239">
        <f>SUM(G40:G42)</f>
        <v>4687824</v>
      </c>
      <c r="I43" s="239">
        <f>SUM(I40:I42)</f>
        <v>4687824</v>
      </c>
      <c r="K43" s="239">
        <f>SUM(K40:K42)</f>
        <v>4687824</v>
      </c>
      <c r="M43" s="239">
        <f>SUM(M40:M42)</f>
        <v>4687824</v>
      </c>
      <c r="O43" s="239">
        <f>SUM(O40:O42)</f>
        <v>4687824</v>
      </c>
      <c r="Q43" s="239">
        <f>SUM(Q40:Q42)</f>
        <v>4687824</v>
      </c>
      <c r="S43" s="239">
        <f>SUM(S40:S42)</f>
        <v>4687824</v>
      </c>
      <c r="U43" s="239">
        <f>SUM(U40:U42)</f>
        <v>4687824</v>
      </c>
      <c r="W43" s="239">
        <f>SUM(W40:W42)</f>
        <v>4687824</v>
      </c>
      <c r="Y43" s="239">
        <f>SUM(Y40:Y42)</f>
        <v>4687824</v>
      </c>
      <c r="AA43" s="239">
        <f>SUM(AA40:AA42)</f>
        <v>4687824</v>
      </c>
      <c r="AC43" s="239">
        <f>SUM(AC40:AC42)</f>
        <v>4687824</v>
      </c>
      <c r="AE43" s="239">
        <f>SUM(AE40:AE42)</f>
        <v>4687824</v>
      </c>
      <c r="AG43" s="239">
        <f>SUM(AG40:AG42)</f>
        <v>4687824</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905125.69999999925</v>
      </c>
      <c r="G45" s="239">
        <f>G37-G43</f>
        <v>1018248.192499999</v>
      </c>
      <c r="I45" s="239">
        <f>I37-I43</f>
        <v>1133145.1848124992</v>
      </c>
      <c r="K45" s="239">
        <f>K37-K43</f>
        <v>1249823.8887453098</v>
      </c>
      <c r="M45" s="239">
        <f>M37-M43</f>
        <v>1368290.3906073812</v>
      </c>
      <c r="O45" s="239">
        <f>O37-O43</f>
        <v>1488549.5772581231</v>
      </c>
      <c r="Q45" s="239">
        <f>Q37-Q43</f>
        <v>1610605.058702318</v>
      </c>
      <c r="S45" s="239">
        <f>S37-S43</f>
        <v>1734459.0870879823</v>
      </c>
      <c r="U45" s="239">
        <f>U37-U43</f>
        <v>1860112.4719590377</v>
      </c>
      <c r="W45" s="239">
        <f>W37-W43</f>
        <v>1987564.4916089401</v>
      </c>
      <c r="Y45" s="239">
        <f>Y37-Y43</f>
        <v>2116812.8003754113</v>
      </c>
      <c r="AA45" s="239">
        <f>AA37-AA43</f>
        <v>2247853.331710265</v>
      </c>
      <c r="AC45" s="239">
        <f>AC37-AC43</f>
        <v>2380680.1968518887</v>
      </c>
      <c r="AE45" s="239">
        <f>AE37-AE43</f>
        <v>2515285.5789213087</v>
      </c>
      <c r="AG45" s="239">
        <f>AG37-AG43</f>
        <v>2651659.6222558813</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9.5968107387924204E-2</v>
      </c>
      <c r="G47" s="243">
        <f>G45/(G4+G6+G8)</f>
        <v>0.10532896487076497</v>
      </c>
      <c r="I47" s="243">
        <f>I45/(I4+I6+I8)</f>
        <v>0.11435518492776489</v>
      </c>
      <c r="K47" s="243">
        <f>K45/(K4+K6+K8)</f>
        <v>0.12305386496759108</v>
      </c>
      <c r="M47" s="243">
        <f>M45/(M4+M6+M8)</f>
        <v>0.13143191903877122</v>
      </c>
      <c r="O47" s="243">
        <f>O45/(O4+O6+O8)</f>
        <v>0.13949608220121817</v>
      </c>
      <c r="Q47" s="243">
        <f>Q45/(Q4+Q6+Q8)</f>
        <v>0.14725291479015629</v>
      </c>
      <c r="S47" s="243">
        <f>S45/(S4+S6+S8)</f>
        <v>0.15470880657505945</v>
      </c>
      <c r="U47" s="243">
        <f>U45/(U4+U6+U8)</f>
        <v>0.16186998081615256</v>
      </c>
      <c r="W47" s="243">
        <f>W45/(W4+W6+W8)</f>
        <v>0.16874249822096701</v>
      </c>
      <c r="Y47" s="243">
        <f>Y45/(Y4+Y6+Y8)</f>
        <v>0.17533226080337713</v>
      </c>
      <c r="AA47" s="243">
        <f>AA45/(AA4+AA6+AA8)</f>
        <v>0.18164501564748572</v>
      </c>
      <c r="AC47" s="243">
        <f>AC45/(AC4+AC6+AC8)</f>
        <v>0.18768635857866964</v>
      </c>
      <c r="AE47" s="243">
        <f>AE45/(AE4+AE6+AE8)</f>
        <v>0.1934617377440388</v>
      </c>
      <c r="AG47" s="243">
        <f>AG45/(AG4+AG6+AG8)</f>
        <v>0.19897645710451009</v>
      </c>
    </row>
    <row r="48" spans="1:33" s="243" customFormat="1" ht="14">
      <c r="A48" s="243" t="s">
        <v>861</v>
      </c>
      <c r="C48" s="236"/>
      <c r="E48" s="243">
        <f>E45/E43</f>
        <v>0.19308013696759932</v>
      </c>
      <c r="G48" s="243">
        <f>G45/G43</f>
        <v>0.2172112674238621</v>
      </c>
      <c r="I48" s="243">
        <f>I45/I43</f>
        <v>0.24172093167586906</v>
      </c>
      <c r="K48" s="243">
        <f>K45/K43</f>
        <v>0.26661066813628453</v>
      </c>
      <c r="M48" s="243">
        <f>M45/M43</f>
        <v>0.2918817751279445</v>
      </c>
      <c r="O48" s="243">
        <f>O45/O43</f>
        <v>0.31753529510880169</v>
      </c>
      <c r="Q48" s="243">
        <f>Q45/Q43</f>
        <v>0.34357199815998168</v>
      </c>
      <c r="S48" s="243">
        <f>S45/S43</f>
        <v>0.36999236470652103</v>
      </c>
      <c r="U48" s="243">
        <f>U45/U43</f>
        <v>0.39679656743918662</v>
      </c>
      <c r="W48" s="243">
        <f>W45/W43</f>
        <v>0.42398445240455701</v>
      </c>
      <c r="Y48" s="243">
        <f>Y45/Y43</f>
        <v>0.45155551922926529</v>
      </c>
      <c r="AA48" s="243">
        <f>AA45/AA43</f>
        <v>0.47950890044299127</v>
      </c>
      <c r="AC48" s="243">
        <f>AC45/AC43</f>
        <v>0.50784333986341823</v>
      </c>
      <c r="AE48" s="243">
        <f>AE45/AE43</f>
        <v>0.53655717000495518</v>
      </c>
      <c r="AG48" s="243">
        <f>AG45/AG43</f>
        <v>0.56564828847155557</v>
      </c>
    </row>
    <row r="49" spans="1:35" s="244" customFormat="1" ht="14">
      <c r="A49" s="244" t="s">
        <v>859</v>
      </c>
      <c r="C49" s="245"/>
      <c r="E49" s="244">
        <f>E37/E43</f>
        <v>1.1930801369675994</v>
      </c>
      <c r="G49" s="244">
        <f>G37/G43</f>
        <v>1.2172112674238622</v>
      </c>
      <c r="I49" s="244">
        <f>I37/I43</f>
        <v>1.2417209316758691</v>
      </c>
      <c r="K49" s="244">
        <f>K37/K43</f>
        <v>1.2666106681362845</v>
      </c>
      <c r="M49" s="244">
        <f>M37/M43</f>
        <v>1.2918817751279446</v>
      </c>
      <c r="O49" s="244">
        <f>O37/O43</f>
        <v>1.3175352951088017</v>
      </c>
      <c r="Q49" s="244">
        <f>Q37/Q43</f>
        <v>1.3435719981599816</v>
      </c>
      <c r="S49" s="244">
        <f>S37/S43</f>
        <v>1.3699923647065211</v>
      </c>
      <c r="U49" s="244">
        <f>U37/U43</f>
        <v>1.3967965674391867</v>
      </c>
      <c r="W49" s="244">
        <f>W37/W43</f>
        <v>1.4239844524045571</v>
      </c>
      <c r="Y49" s="244">
        <f>Y37/Y43</f>
        <v>1.4515555192292653</v>
      </c>
      <c r="AA49" s="244">
        <f>AA37/AA43</f>
        <v>1.4795089004429913</v>
      </c>
      <c r="AC49" s="244">
        <f>AC37/AC43</f>
        <v>1.5078433398634181</v>
      </c>
      <c r="AE49" s="244">
        <f>AE37/AE43</f>
        <v>1.5365571700049552</v>
      </c>
      <c r="AG49" s="244">
        <f>AG37/AG43</f>
        <v>1.5656482884715555</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2743</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48100</v>
      </c>
      <c r="G53" s="995">
        <f>E53*$C$53</f>
        <v>48100</v>
      </c>
      <c r="I53" s="995">
        <f>G53*$C$53</f>
        <v>48100</v>
      </c>
      <c r="K53" s="995">
        <f>I53*$C$53</f>
        <v>48100</v>
      </c>
      <c r="M53" s="995">
        <f>K53*$C$53</f>
        <v>48100</v>
      </c>
      <c r="O53" s="995">
        <f>M53*$C$53</f>
        <v>48100</v>
      </c>
      <c r="Q53" s="995">
        <f>O53*$C$53</f>
        <v>48100</v>
      </c>
      <c r="S53" s="995">
        <f>Q53*$C$53</f>
        <v>48100</v>
      </c>
      <c r="U53" s="995">
        <f>S53*$C$53</f>
        <v>48100</v>
      </c>
      <c r="W53" s="995">
        <f>U53*$C$53</f>
        <v>48100</v>
      </c>
      <c r="Y53" s="995">
        <f>W53*$C$53</f>
        <v>48100</v>
      </c>
      <c r="AA53" s="995">
        <f>Y53*$C$53</f>
        <v>48100</v>
      </c>
      <c r="AC53" s="995">
        <f>AA53*$C$53</f>
        <v>48100</v>
      </c>
      <c r="AE53" s="995">
        <f>AC53*$C$53</f>
        <v>48100</v>
      </c>
      <c r="AG53" s="995">
        <f>AE53*$C$53</f>
        <v>48100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55600</v>
      </c>
      <c r="F58" s="995"/>
      <c r="G58" s="995">
        <f>SUM(G53:G57)</f>
        <v>55600</v>
      </c>
      <c r="H58" s="995"/>
      <c r="I58" s="995">
        <f>SUM(I53:I57)</f>
        <v>55600</v>
      </c>
      <c r="J58" s="995"/>
      <c r="K58" s="995">
        <f>SUM(K53:K57)</f>
        <v>55600</v>
      </c>
      <c r="L58" s="995"/>
      <c r="M58" s="995">
        <f>SUM(M53:M57)</f>
        <v>55600</v>
      </c>
      <c r="N58" s="995"/>
      <c r="O58" s="995">
        <f>SUM(O53:O57)</f>
        <v>55600</v>
      </c>
      <c r="P58" s="995"/>
      <c r="Q58" s="995">
        <f>SUM(Q53:Q57)</f>
        <v>55600</v>
      </c>
      <c r="R58" s="995"/>
      <c r="S58" s="995">
        <f>SUM(S53:S57)</f>
        <v>55600</v>
      </c>
      <c r="T58" s="995"/>
      <c r="U58" s="995">
        <f>SUM(U53:U57)</f>
        <v>55600</v>
      </c>
      <c r="V58" s="995"/>
      <c r="W58" s="995">
        <f>SUM(W53:W57)</f>
        <v>55600</v>
      </c>
      <c r="X58" s="995"/>
      <c r="Y58" s="995">
        <f>SUM(Y53:Y57)</f>
        <v>55600</v>
      </c>
      <c r="Z58" s="995"/>
      <c r="AA58" s="995">
        <f>SUM(AA53:AA57)</f>
        <v>55600</v>
      </c>
      <c r="AB58" s="995"/>
      <c r="AC58" s="995">
        <f>SUM(AC53:AC57)</f>
        <v>55600</v>
      </c>
      <c r="AD58" s="995"/>
      <c r="AE58" s="995">
        <f>SUM(AE53:AE57)</f>
        <v>55600</v>
      </c>
      <c r="AF58" s="995"/>
      <c r="AG58" s="995">
        <f>SUM(AG53:AG57)</f>
        <v>55600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849525.69999999925</v>
      </c>
      <c r="G60" s="997">
        <f>G45-G58</f>
        <v>962648.19249999896</v>
      </c>
      <c r="I60" s="997">
        <f>I45-I58</f>
        <v>1077545.1848124992</v>
      </c>
      <c r="K60" s="997">
        <f>K45-K58</f>
        <v>1194223.8887453098</v>
      </c>
      <c r="M60" s="997">
        <f>M45-M58</f>
        <v>1312690.3906073812</v>
      </c>
      <c r="O60" s="997">
        <f>O45-O58</f>
        <v>1432949.5772581231</v>
      </c>
      <c r="Q60" s="997">
        <f>Q45-Q58</f>
        <v>1555005.058702318</v>
      </c>
      <c r="S60" s="997">
        <f>S45-S58</f>
        <v>1678859.0870879823</v>
      </c>
      <c r="U60" s="997">
        <f>U45-U58</f>
        <v>1804512.4719590377</v>
      </c>
      <c r="W60" s="997">
        <f>W45-W58</f>
        <v>1931964.4916089401</v>
      </c>
      <c r="Y60" s="997">
        <f>Y45-Y58</f>
        <v>2061212.8003754113</v>
      </c>
      <c r="AA60" s="997">
        <f>AA45-AA58</f>
        <v>2192253.331710265</v>
      </c>
      <c r="AC60" s="997">
        <f>AC45-AC58</f>
        <v>2325080.1968518887</v>
      </c>
      <c r="AE60" s="997">
        <f>AE45-AE58</f>
        <v>2459685.5789213087</v>
      </c>
      <c r="AG60" s="997">
        <f>AG45-AG58</f>
        <v>2596059.6222558813</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0.5</v>
      </c>
      <c r="E62" s="999">
        <f>E60*$C$62</f>
        <v>424762.84999999963</v>
      </c>
      <c r="G62" s="997">
        <f>G60*$C$62</f>
        <v>481324.09624999948</v>
      </c>
      <c r="I62" s="997">
        <f>I60*$C$62</f>
        <v>538772.59240624961</v>
      </c>
      <c r="K62" s="997">
        <f>K60*$C$62</f>
        <v>597111.94437265489</v>
      </c>
      <c r="M62" s="997">
        <f>M60*$C$62</f>
        <v>656345.19530369062</v>
      </c>
      <c r="O62" s="997">
        <f>O60*$C$62</f>
        <v>716474.78862906154</v>
      </c>
      <c r="Q62" s="997">
        <f>Q60*$C$62</f>
        <v>777502.529351159</v>
      </c>
      <c r="S62" s="997">
        <f>S60*$C$62</f>
        <v>839429.54354399117</v>
      </c>
      <c r="U62" s="997">
        <f>U60*$C$62</f>
        <v>902256.23597951885</v>
      </c>
      <c r="W62" s="997">
        <f>W60*$C$62</f>
        <v>965982.24580447003</v>
      </c>
      <c r="Y62" s="997">
        <f>Y60*$C$62</f>
        <v>1030606.4001877056</v>
      </c>
      <c r="AA62" s="997">
        <f>AA60*$C$62</f>
        <v>1096126.6658551325</v>
      </c>
      <c r="AC62" s="997">
        <f>AC60*$C$62</f>
        <v>1162540.0984259443</v>
      </c>
      <c r="AE62" s="997">
        <f>AE60*$C$62</f>
        <v>1229842.7894606544</v>
      </c>
      <c r="AG62" s="997">
        <f>AG60*$C$62</f>
        <v>1298029.8111279407</v>
      </c>
    </row>
    <row r="63" spans="1:35" s="997" customFormat="1">
      <c r="A63" s="2675" t="s">
        <v>2744</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2745</v>
      </c>
      <c r="B66" s="999"/>
      <c r="C66" s="998"/>
      <c r="E66" s="999">
        <f>$E60*$C$65</f>
        <v>424762.84999999963</v>
      </c>
      <c r="G66" s="995">
        <f>G60*$C$65</f>
        <v>481324.09624999948</v>
      </c>
      <c r="I66" s="995">
        <f>I60*$C$65</f>
        <v>538772.59240624961</v>
      </c>
      <c r="K66" s="995">
        <f>K60*$C$65</f>
        <v>597111.94437265489</v>
      </c>
      <c r="M66" s="995">
        <f>M60*$C$65</f>
        <v>656345.19530369062</v>
      </c>
      <c r="O66" s="995">
        <f>O60*$C$65</f>
        <v>716474.78862906154</v>
      </c>
      <c r="Q66" s="995">
        <f>Q60*$C$65</f>
        <v>777502.529351159</v>
      </c>
      <c r="S66" s="995">
        <f>S60*$C$65</f>
        <v>839429.54354399117</v>
      </c>
      <c r="U66" s="995">
        <f>U60*$C$65</f>
        <v>902256.23597951885</v>
      </c>
      <c r="W66" s="995">
        <f>W60*$C$65</f>
        <v>965982.24580447003</v>
      </c>
      <c r="Y66" s="995">
        <f>Y60*$C$65</f>
        <v>1030606.4001877056</v>
      </c>
      <c r="AA66" s="995">
        <f>AA60*$C$65</f>
        <v>1096126.6658551325</v>
      </c>
      <c r="AC66" s="995">
        <f>AC60*$C$65</f>
        <v>1162540.0984259443</v>
      </c>
      <c r="AE66" s="995">
        <f>AE60*$C$65</f>
        <v>1229842.7894606544</v>
      </c>
      <c r="AG66" s="995">
        <f>AG60*$C$65</f>
        <v>1298029.8111279407</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424762.84999999963</v>
      </c>
      <c r="G70" s="995">
        <f>SUM(G66:G69)</f>
        <v>481324.09624999948</v>
      </c>
      <c r="I70" s="995">
        <f>SUM(I66:I69)</f>
        <v>538772.59240624961</v>
      </c>
      <c r="K70" s="995">
        <f>SUM(K66:K69)</f>
        <v>597111.94437265489</v>
      </c>
      <c r="M70" s="995">
        <f>SUM(M66:M69)</f>
        <v>656345.19530369062</v>
      </c>
      <c r="O70" s="995">
        <f>SUM(O66:O69)</f>
        <v>716474.78862906154</v>
      </c>
      <c r="Q70" s="995">
        <f>SUM(Q66:Q69)</f>
        <v>777502.529351159</v>
      </c>
      <c r="S70" s="995">
        <f>SUM(S66:S69)</f>
        <v>839429.54354399117</v>
      </c>
      <c r="U70" s="995">
        <f>SUM(U66:U69)</f>
        <v>902256.23597951885</v>
      </c>
      <c r="W70" s="995">
        <f>SUM(W66:W69)</f>
        <v>965982.24580447003</v>
      </c>
      <c r="Y70" s="995">
        <f>SUM(Y66:Y69)</f>
        <v>1030606.4001877056</v>
      </c>
      <c r="AA70" s="995">
        <f>SUM(AA66:AA69)</f>
        <v>1096126.6658551325</v>
      </c>
      <c r="AC70" s="995">
        <f>SUM(AC66:AC69)</f>
        <v>1162540.0984259443</v>
      </c>
      <c r="AE70" s="995">
        <f>SUM(AE66:AE69)</f>
        <v>1229842.7894606544</v>
      </c>
      <c r="AG70" s="995">
        <f>SUM(AG66:AG69)</f>
        <v>1298029.8111279407</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4378535</v>
      </c>
      <c r="C5" s="286">
        <f>'Sources and Uses Budget'!$C4</f>
        <v>4378535</v>
      </c>
      <c r="D5" s="290">
        <f>C5-B5</f>
        <v>0</v>
      </c>
      <c r="E5" s="288"/>
      <c r="F5" s="287"/>
      <c r="G5" s="383"/>
    </row>
    <row r="6" spans="1:7" s="380" customFormat="1">
      <c r="A6" s="395" t="s">
        <v>28</v>
      </c>
      <c r="B6" s="286">
        <f>'Sources and Uses Budget'!$C5</f>
        <v>297275</v>
      </c>
      <c r="C6" s="286">
        <f>'Sources and Uses Budget'!$C5</f>
        <v>297275</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4680810</v>
      </c>
      <c r="C9" s="290">
        <f>SUM(C5:C8)</f>
        <v>4680810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183200</v>
      </c>
      <c r="C11" s="286">
        <f>'Sources and Uses Budget'!$C10</f>
        <v>183200</v>
      </c>
      <c r="D11" s="290">
        <f t="shared" si="0"/>
        <v>0</v>
      </c>
      <c r="E11" s="288"/>
      <c r="F11" s="287"/>
      <c r="G11" s="383"/>
    </row>
    <row r="12" spans="1:7" s="380" customFormat="1">
      <c r="A12" s="396" t="s">
        <v>603</v>
      </c>
      <c r="B12" s="290">
        <f>SUM(B10:B11)</f>
        <v>183200</v>
      </c>
      <c r="C12" s="290">
        <f>SUM(C10:C11)</f>
        <v>183200</v>
      </c>
      <c r="D12" s="290">
        <f t="shared" si="0"/>
        <v>0</v>
      </c>
      <c r="E12" s="288"/>
      <c r="F12" s="287"/>
      <c r="G12" s="383"/>
    </row>
    <row r="13" spans="1:7" s="380" customFormat="1">
      <c r="A13" s="396" t="s">
        <v>84</v>
      </c>
      <c r="B13" s="290">
        <f>SUM(B9+B12)</f>
        <v>4864010</v>
      </c>
      <c r="C13" s="290">
        <f>SUM(C9+C12)</f>
        <v>4864010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3848000</v>
      </c>
      <c r="C30" s="286">
        <f>'Sources and Uses Budget'!$C29</f>
        <v>3848000</v>
      </c>
      <c r="D30" s="290">
        <f t="shared" si="0"/>
        <v>0</v>
      </c>
      <c r="E30" s="288"/>
      <c r="F30" s="287"/>
      <c r="G30" s="383"/>
    </row>
    <row r="31" spans="1:7" s="380" customFormat="1">
      <c r="A31" s="145" t="s">
        <v>606</v>
      </c>
      <c r="B31" s="286">
        <f>'Sources and Uses Budget'!$C30</f>
        <v>98921206</v>
      </c>
      <c r="C31" s="286">
        <f>'Sources and Uses Budget'!$C30</f>
        <v>98921206</v>
      </c>
      <c r="D31" s="290">
        <f t="shared" si="0"/>
        <v>0</v>
      </c>
      <c r="E31" s="288"/>
      <c r="F31" s="287"/>
      <c r="G31" s="383"/>
    </row>
    <row r="32" spans="1:7" s="380" customFormat="1">
      <c r="A32" s="145" t="s">
        <v>607</v>
      </c>
      <c r="B32" s="286">
        <f>'Sources and Uses Budget'!$C31</f>
        <v>6177144</v>
      </c>
      <c r="C32" s="286">
        <f>'Sources and Uses Budget'!$C31</f>
        <v>6177144</v>
      </c>
      <c r="D32" s="290">
        <f t="shared" si="0"/>
        <v>0</v>
      </c>
      <c r="E32" s="288"/>
      <c r="F32" s="287"/>
      <c r="G32" s="383"/>
    </row>
    <row r="33" spans="1:7" s="380" customFormat="1">
      <c r="A33" s="145" t="s">
        <v>137</v>
      </c>
      <c r="B33" s="286">
        <f>'Sources and Uses Budget'!$C32</f>
        <v>2182591</v>
      </c>
      <c r="C33" s="286">
        <f>'Sources and Uses Budget'!$C32</f>
        <v>2182591</v>
      </c>
      <c r="D33" s="290">
        <f t="shared" si="0"/>
        <v>0</v>
      </c>
      <c r="E33" s="288"/>
      <c r="F33" s="287"/>
      <c r="G33" s="383"/>
    </row>
    <row r="34" spans="1:7" s="380" customFormat="1">
      <c r="A34" s="145" t="s">
        <v>138</v>
      </c>
      <c r="B34" s="286">
        <f>'Sources and Uses Budget'!$C33</f>
        <v>6547773</v>
      </c>
      <c r="C34" s="286">
        <f>'Sources and Uses Budget'!$C33</f>
        <v>6547773</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1100000</v>
      </c>
      <c r="C36" s="286">
        <f>'Sources and Uses Budget'!$C35</f>
        <v>1100000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118776714</v>
      </c>
      <c r="C39" s="290">
        <f>SUM(C30:C38)</f>
        <v>118776714</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290000</v>
      </c>
      <c r="C44" s="286">
        <f>'Sources and Uses Budget'!$C43</f>
        <v>290000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15200000</v>
      </c>
      <c r="C46" s="286">
        <f>'Sources and Uses Budget'!$C45</f>
        <v>15200000</v>
      </c>
      <c r="D46" s="290">
        <f t="shared" si="0"/>
        <v>0</v>
      </c>
      <c r="E46" s="288"/>
      <c r="F46" s="287"/>
      <c r="G46" s="383"/>
    </row>
    <row r="47" spans="1:7" s="380" customFormat="1">
      <c r="A47" s="145" t="s">
        <v>151</v>
      </c>
      <c r="B47" s="286">
        <f>'Sources and Uses Budget'!$C46</f>
        <v>787500</v>
      </c>
      <c r="C47" s="286">
        <f>'Sources and Uses Budget'!$C46</f>
        <v>787500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100000</v>
      </c>
      <c r="C50" s="286">
        <f>'Sources and Uses Budget'!$C49</f>
        <v>100000</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756400</v>
      </c>
      <c r="C53" s="286">
        <f>'Sources and Uses Budget'!$C52</f>
        <v>756400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17133900</v>
      </c>
      <c r="C55" s="293">
        <f>SUM(C46:C54)</f>
        <v>17133900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355000</v>
      </c>
      <c r="C57" s="286">
        <f>'Sources and Uses Budget'!$C56</f>
        <v>355000</v>
      </c>
      <c r="D57" s="290">
        <f t="shared" si="0"/>
        <v>0</v>
      </c>
      <c r="E57" s="288"/>
      <c r="F57" s="287"/>
      <c r="G57" s="383"/>
    </row>
    <row r="58" spans="1:7" s="380" customFormat="1" ht="12.05"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380000</v>
      </c>
      <c r="C63" s="290">
        <f>SUM(C57:C62)</f>
        <v>380000</v>
      </c>
      <c r="D63" s="290">
        <f t="shared" si="0"/>
        <v>0</v>
      </c>
      <c r="E63" s="288"/>
      <c r="F63" s="287"/>
      <c r="G63" s="383"/>
    </row>
    <row r="64" spans="1:7" s="380" customFormat="1" ht="12.95">
      <c r="A64" s="294" t="s">
        <v>302</v>
      </c>
      <c r="B64" s="290">
        <f>SUM(B9+B12+B14+B15+B17+B26+B28+B39+B43+B44+B55+B63)</f>
        <v>142644624</v>
      </c>
      <c r="C64" s="290">
        <f>SUM(C9+C12+C14+C15+C17+C26+C28+C39+C43+C44+C55+C63)</f>
        <v>142644624</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80000</v>
      </c>
      <c r="C66" s="286">
        <f>'Sources and Uses Budget'!$C65</f>
        <v>80000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190000</v>
      </c>
      <c r="C71" s="290">
        <f>SUM(C66:C70)</f>
        <v>190000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2013706</v>
      </c>
      <c r="C76" s="286">
        <f>'Sources and Uses Budget'!$C75</f>
        <v>2013706</v>
      </c>
      <c r="D76" s="290">
        <f t="shared" si="0"/>
        <v>0</v>
      </c>
      <c r="E76" s="288"/>
      <c r="F76" s="287"/>
      <c r="G76" s="383"/>
    </row>
    <row r="77" spans="1:7" s="380" customFormat="1">
      <c r="A77" s="292" t="s">
        <v>34</v>
      </c>
      <c r="B77" s="286">
        <f>'Sources and Uses Budget'!$C76</f>
        <v>500000</v>
      </c>
      <c r="C77" s="286">
        <f>'Sources and Uses Budget'!$C76</f>
        <v>500000</v>
      </c>
      <c r="D77" s="290">
        <f t="shared" si="0"/>
        <v>0</v>
      </c>
      <c r="E77" s="288"/>
      <c r="F77" s="287"/>
      <c r="G77" s="383"/>
    </row>
    <row r="78" spans="1:7" s="380" customFormat="1">
      <c r="A78" s="291" t="s">
        <v>613</v>
      </c>
      <c r="B78" s="290">
        <f>SUM(B73:B77)</f>
        <v>2513706</v>
      </c>
      <c r="C78" s="290">
        <f>SUM(C73:C77)</f>
        <v>2513706</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5900000</v>
      </c>
      <c r="C80" s="286">
        <f>'Sources and Uses Budget'!$C79</f>
        <v>5900000</v>
      </c>
      <c r="D80" s="290">
        <f t="shared" si="1"/>
        <v>0</v>
      </c>
      <c r="E80" s="288"/>
      <c r="F80" s="287"/>
      <c r="G80" s="383"/>
    </row>
    <row r="81" spans="1:7" s="380" customFormat="1">
      <c r="A81" s="544" t="s">
        <v>58</v>
      </c>
      <c r="B81" s="286">
        <f>'Sources and Uses Budget'!$C80</f>
        <v>900000</v>
      </c>
      <c r="C81" s="286">
        <f>'Sources and Uses Budget'!$C80</f>
        <v>900000</v>
      </c>
      <c r="D81" s="290">
        <f>C81-B81</f>
        <v>0</v>
      </c>
      <c r="E81" s="288"/>
      <c r="F81" s="287"/>
      <c r="G81" s="383"/>
    </row>
    <row r="82" spans="1:7" s="380" customFormat="1">
      <c r="A82" s="291" t="s">
        <v>1312</v>
      </c>
      <c r="B82" s="290">
        <f>SUM(B80:B81)</f>
        <v>6800000</v>
      </c>
      <c r="C82" s="290">
        <f>SUM(C80:C81)</f>
        <v>6800000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272608</v>
      </c>
      <c r="C84" s="286">
        <f>'Sources and Uses Budget'!$C83</f>
        <v>272608</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18666685</v>
      </c>
      <c r="C86" s="286">
        <f>'Sources and Uses Budget'!$C85</f>
        <v>18666685</v>
      </c>
      <c r="D86" s="290">
        <f t="shared" si="1"/>
        <v>0</v>
      </c>
      <c r="E86" s="288"/>
      <c r="F86" s="287"/>
      <c r="G86" s="383"/>
    </row>
    <row r="87" spans="1:7" s="380" customFormat="1">
      <c r="A87" s="289" t="s">
        <v>776</v>
      </c>
      <c r="B87" s="286">
        <f>'Sources and Uses Budget'!$C86</f>
        <v>1000000</v>
      </c>
      <c r="C87" s="286">
        <f>'Sources and Uses Budget'!$C86</f>
        <v>1000000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192527</v>
      </c>
      <c r="C89" s="286">
        <f>'Sources and Uses Budget'!$C88</f>
        <v>192527</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20221820</v>
      </c>
      <c r="C97" s="290">
        <f>SUM(C84:C96)</f>
        <v>20221820</v>
      </c>
      <c r="D97" s="290">
        <f t="shared" si="1"/>
        <v>0</v>
      </c>
      <c r="E97" s="288"/>
      <c r="F97" s="287"/>
      <c r="G97" s="383"/>
    </row>
    <row r="98" spans="1:7" s="380" customFormat="1">
      <c r="A98" s="291" t="s">
        <v>782</v>
      </c>
      <c r="B98" s="290">
        <f>SUM(B64+B71+B78+B82+B97)</f>
        <v>172370150</v>
      </c>
      <c r="C98" s="290">
        <f>SUM(C64+C71+C78+C82+C97)</f>
        <v>172370150</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24400000</v>
      </c>
      <c r="C100" s="286">
        <f>'Sources and Uses Budget'!$C99</f>
        <v>24400000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24400000</v>
      </c>
      <c r="C105" s="290">
        <f>SUM(C100:C104)</f>
        <v>24400000</v>
      </c>
      <c r="D105" s="290">
        <f t="shared" si="1"/>
        <v>0</v>
      </c>
      <c r="E105" s="288"/>
      <c r="F105" s="287"/>
      <c r="G105" s="383"/>
    </row>
    <row r="106" spans="1:7" s="380" customFormat="1">
      <c r="A106" s="291" t="s">
        <v>787</v>
      </c>
      <c r="B106" s="293">
        <f>SUM(B98+B105)</f>
        <v>196770150</v>
      </c>
      <c r="C106" s="293">
        <f>SUM(C98+C105)</f>
        <v>196770150</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1065</v>
      </c>
      <c r="B2" s="1300"/>
      <c r="C2" s="1274"/>
      <c r="D2" s="1274"/>
      <c r="E2" s="1274"/>
      <c r="F2" s="1274"/>
      <c r="G2" s="1274"/>
    </row>
    <row r="3" spans="1:9" s="173" customFormat="1">
      <c r="A3" s="1300" t="s">
        <v>1006</v>
      </c>
      <c r="B3" s="1300"/>
      <c r="C3" s="1274"/>
      <c r="D3" s="1274"/>
      <c r="E3" s="1274"/>
      <c r="F3" s="1274"/>
      <c r="G3" s="1274"/>
      <c r="I3" t="s">
        <v>307</v>
      </c>
    </row>
    <row r="4" spans="1:9">
      <c r="I4" s="3" t="s">
        <v>1066</v>
      </c>
    </row>
    <row r="5" spans="1:9">
      <c r="A5" s="1302" t="s">
        <v>1007</v>
      </c>
      <c r="B5" s="1302"/>
      <c r="C5" s="1274"/>
      <c r="D5" s="1274"/>
      <c r="E5" s="1274"/>
      <c r="F5" s="1274"/>
      <c r="G5" s="1274"/>
      <c r="I5" s="3" t="s">
        <v>1067</v>
      </c>
    </row>
    <row r="6" spans="1:9">
      <c r="A6" s="1302" t="s">
        <v>826</v>
      </c>
      <c r="B6" s="1302"/>
      <c r="C6" s="1274"/>
      <c r="D6" s="1274"/>
      <c r="E6" s="1274"/>
      <c r="F6" s="1274"/>
      <c r="G6" s="1274"/>
      <c r="I6" t="s">
        <v>598</v>
      </c>
    </row>
    <row r="7" spans="1:9" ht="11.95" customHeight="1"/>
    <row r="8" spans="1:9">
      <c r="A8" s="1300" t="s">
        <v>1162</v>
      </c>
      <c r="B8" s="1300"/>
      <c r="C8" s="1301"/>
      <c r="D8" s="1301"/>
      <c r="E8" s="1301"/>
      <c r="F8" s="1301"/>
      <c r="G8" s="1301"/>
    </row>
    <row r="9" spans="1:9">
      <c r="A9" s="1300" t="s">
        <v>1163</v>
      </c>
      <c r="B9" s="1300"/>
      <c r="C9" s="1301"/>
      <c r="D9" s="1301"/>
      <c r="E9" s="1301"/>
      <c r="F9" s="1301"/>
      <c r="G9" s="1301"/>
    </row>
    <row r="10" spans="1:9">
      <c r="A10" s="174"/>
      <c r="B10" s="174"/>
      <c r="C10" s="172"/>
      <c r="D10" s="172"/>
      <c r="E10" s="172"/>
      <c r="F10" s="172"/>
    </row>
    <row r="11" spans="1:9">
      <c r="A11" s="1281" t="s">
        <v>1165</v>
      </c>
      <c r="B11" s="1281"/>
      <c r="C11" s="1281"/>
      <c r="D11" s="1281"/>
      <c r="E11" s="1281"/>
      <c r="F11" s="1281"/>
      <c r="G11" s="1281"/>
    </row>
    <row r="12" spans="1:9">
      <c r="A12" s="172"/>
      <c r="B12" s="172"/>
      <c r="E12" s="2"/>
    </row>
    <row r="13" spans="1:9" ht="13.25" customHeight="1">
      <c r="C13" s="172"/>
      <c r="D13" s="1314" t="s">
        <v>1164</v>
      </c>
      <c r="E13" s="1314"/>
      <c r="F13" s="1314"/>
    </row>
    <row r="14" spans="1:9">
      <c r="C14" s="172"/>
      <c r="D14" s="1314"/>
      <c r="E14" s="1314"/>
      <c r="F14" s="1314"/>
    </row>
    <row r="15" spans="1:9">
      <c r="A15" s="175"/>
      <c r="B15" s="175"/>
      <c r="C15" s="175"/>
      <c r="D15" s="1277" t="s">
        <v>1147</v>
      </c>
      <c r="E15" s="1277"/>
      <c r="F15" s="1277"/>
    </row>
    <row r="16" spans="1:9">
      <c r="A16" s="175"/>
      <c r="B16" s="175"/>
      <c r="C16" s="175"/>
      <c r="D16" s="218"/>
    </row>
    <row r="17" spans="1:6" ht="13.5">
      <c r="A17" s="176"/>
      <c r="B17" s="468" t="s">
        <v>307</v>
      </c>
      <c r="C17" s="175"/>
      <c r="D17" s="1266" t="s">
        <v>1148</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307</v>
      </c>
      <c r="D21" s="1309" t="s">
        <v>1149</v>
      </c>
      <c r="E21" s="1309"/>
      <c r="F21" s="1309"/>
    </row>
    <row r="22" spans="1:6" ht="13.5">
      <c r="A22" s="176"/>
      <c r="B22" s="176"/>
      <c r="D22" s="35"/>
    </row>
    <row r="23" spans="1:6" ht="13.5">
      <c r="A23" s="176"/>
      <c r="B23" s="468" t="s">
        <v>307</v>
      </c>
      <c r="D23" s="1266" t="s">
        <v>1150</v>
      </c>
      <c r="E23" s="1266"/>
      <c r="F23" s="1266"/>
    </row>
    <row r="24" spans="1:6" ht="13.5">
      <c r="A24" s="176"/>
      <c r="B24" s="176"/>
      <c r="D24" s="1266"/>
      <c r="E24" s="1266"/>
      <c r="F24" s="1266"/>
    </row>
    <row r="25" spans="1:6"/>
    <row r="26" spans="1:6" ht="13.5">
      <c r="A26" s="176"/>
      <c r="B26" s="468" t="s">
        <v>307</v>
      </c>
      <c r="D26" s="1266" t="s">
        <v>1151</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1152</v>
      </c>
      <c r="E32" s="1266"/>
      <c r="F32" s="1266"/>
    </row>
    <row r="33" spans="1:6">
      <c r="D33" s="1266"/>
      <c r="E33" s="1266"/>
      <c r="F33" s="1266"/>
    </row>
    <row r="34" spans="1:6" ht="13.5">
      <c r="A34" s="176"/>
      <c r="B34" s="176"/>
      <c r="D34" s="220"/>
    </row>
    <row r="35" spans="1:6" ht="14.5" customHeight="1">
      <c r="A35" s="176"/>
      <c r="B35" s="468" t="s">
        <v>307</v>
      </c>
      <c r="D35" s="1266" t="s">
        <v>1153</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307</v>
      </c>
      <c r="D39" s="1266" t="s">
        <v>1154</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307</v>
      </c>
      <c r="D45" s="1266" t="s">
        <v>1155</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307</v>
      </c>
      <c r="D50" s="1266" t="s">
        <v>1156</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307</v>
      </c>
      <c r="C54" s="385"/>
      <c r="D54" s="1266" t="s">
        <v>1157</v>
      </c>
      <c r="E54" s="1266"/>
      <c r="F54" s="1266"/>
      <c r="G54" s="3"/>
    </row>
    <row r="55" spans="1:7" ht="13.5">
      <c r="A55" s="176"/>
      <c r="B55" s="176"/>
      <c r="C55" s="385"/>
      <c r="D55" s="1266"/>
      <c r="E55" s="1266"/>
      <c r="F55" s="1266"/>
      <c r="G55" s="3"/>
    </row>
    <row r="56" spans="1:7">
      <c r="D56" s="220"/>
    </row>
    <row r="57" spans="1:7" ht="13.5">
      <c r="A57" s="176"/>
      <c r="B57" s="468" t="s">
        <v>307</v>
      </c>
      <c r="D57" s="1266" t="s">
        <v>1158</v>
      </c>
      <c r="E57" s="1266"/>
      <c r="F57" s="1266"/>
    </row>
    <row r="58" spans="1:7">
      <c r="D58" s="1266"/>
      <c r="E58" s="1266"/>
      <c r="F58" s="1266"/>
    </row>
    <row r="59" spans="1:7">
      <c r="D59" s="1266"/>
      <c r="E59" s="1266"/>
      <c r="F59" s="1266"/>
    </row>
    <row r="60" spans="1:7">
      <c r="D60" s="3"/>
    </row>
    <row r="61" spans="1:7" ht="13.5">
      <c r="A61" s="176"/>
      <c r="B61" s="468" t="s">
        <v>307</v>
      </c>
      <c r="D61" s="1266" t="s">
        <v>1159</v>
      </c>
      <c r="E61" s="1266"/>
      <c r="F61" s="1266"/>
    </row>
    <row r="62" spans="1:7">
      <c r="D62" s="1266"/>
      <c r="E62" s="1266"/>
      <c r="F62" s="1266"/>
    </row>
    <row r="63" spans="1:7"/>
    <row r="64" spans="1:7" ht="13.5">
      <c r="A64" s="176"/>
      <c r="B64" s="468" t="s">
        <v>307</v>
      </c>
      <c r="D64" s="1266" t="s">
        <v>1160</v>
      </c>
      <c r="E64" s="1266"/>
      <c r="F64" s="1266"/>
    </row>
    <row r="65" spans="1:7">
      <c r="D65" s="1266"/>
      <c r="E65" s="1266"/>
      <c r="F65" s="1266"/>
    </row>
    <row r="66" spans="1:7">
      <c r="D66" s="1266"/>
      <c r="E66" s="1266"/>
      <c r="F66" s="1266"/>
    </row>
    <row r="67" spans="1:7">
      <c r="D67"/>
    </row>
    <row r="68" spans="1:7" ht="13.5">
      <c r="A68" s="176"/>
      <c r="B68" s="468" t="s">
        <v>307</v>
      </c>
      <c r="D68" s="1266" t="s">
        <v>1161</v>
      </c>
      <c r="E68" s="1266"/>
      <c r="F68" s="1266"/>
    </row>
    <row r="69" spans="1:7">
      <c r="D69" s="1266"/>
      <c r="E69" s="1266"/>
      <c r="F69" s="1266"/>
    </row>
    <row r="70" spans="1:7" ht="13.5">
      <c r="A70" s="176"/>
      <c r="B70" s="176"/>
      <c r="D70" s="35"/>
    </row>
    <row r="71" spans="1:7">
      <c r="A71" s="1281" t="s">
        <v>1068</v>
      </c>
      <c r="B71" s="1281"/>
      <c r="C71" s="1281"/>
      <c r="D71" s="1281"/>
      <c r="E71" s="1281"/>
      <c r="F71" s="1281"/>
      <c r="G71" s="1281"/>
    </row>
    <row r="72" spans="1:7"/>
    <row r="73" spans="1:7">
      <c r="C73" s="177"/>
      <c r="D73" s="1299" t="s">
        <v>1166</v>
      </c>
      <c r="E73" s="1299"/>
      <c r="F73" s="1299"/>
    </row>
    <row r="74" spans="1:7">
      <c r="A74" s="35"/>
      <c r="B74" s="35"/>
      <c r="D74" s="1266" t="s">
        <v>1193</v>
      </c>
      <c r="E74" s="1266"/>
      <c r="F74" s="1266"/>
    </row>
    <row r="75" spans="1:7">
      <c r="A75" s="35"/>
      <c r="B75" s="35"/>
    </row>
    <row r="76" spans="1:7" ht="13.5">
      <c r="A76" s="176"/>
      <c r="B76" s="468" t="s">
        <v>307</v>
      </c>
      <c r="D76" s="1266" t="s">
        <v>1167</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307</v>
      </c>
      <c r="D83" s="1275" t="s">
        <v>1266</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307</v>
      </c>
      <c r="D97" s="1266" t="s">
        <v>1168</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307</v>
      </c>
      <c r="C106" s="179"/>
      <c r="D106" s="1303" t="s">
        <v>1169</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307</v>
      </c>
      <c r="C114"/>
      <c r="D114" s="1304" t="s">
        <v>1170</v>
      </c>
      <c r="E114" s="1304"/>
      <c r="F114" s="1304"/>
      <c r="G114"/>
    </row>
    <row r="115" spans="1:7" ht="13.5">
      <c r="A115" s="176"/>
      <c r="B115" s="176"/>
      <c r="C115"/>
      <c r="D115" s="1304"/>
      <c r="E115" s="1304"/>
      <c r="F115" s="1304"/>
      <c r="G115"/>
    </row>
    <row r="116" spans="1:7"/>
    <row r="117" spans="1:7" ht="13.5">
      <c r="A117" s="176"/>
      <c r="B117" s="468" t="s">
        <v>307</v>
      </c>
      <c r="D117" s="1266" t="s">
        <v>1171</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307</v>
      </c>
      <c r="D123" s="1266" t="s">
        <v>1172</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1280</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75" t="s">
        <v>1173</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307</v>
      </c>
      <c r="C159" s="218"/>
      <c r="D159" s="1275" t="s">
        <v>1174</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307</v>
      </c>
      <c r="D164" s="1280" t="s">
        <v>1175</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1069</v>
      </c>
      <c r="B168" s="1281"/>
      <c r="C168" s="1281"/>
      <c r="D168" s="1281"/>
      <c r="E168" s="1281"/>
      <c r="F168" s="1281"/>
      <c r="G168" s="1281"/>
    </row>
    <row r="169" spans="1:7" ht="12.05" customHeight="1">
      <c r="D169" s="35"/>
      <c r="E169" s="35"/>
      <c r="F169" s="35"/>
    </row>
    <row r="170" spans="1:7">
      <c r="B170" s="1298" t="s">
        <v>447</v>
      </c>
      <c r="C170" s="1298"/>
      <c r="D170" s="1298"/>
      <c r="E170" s="1298"/>
      <c r="F170" s="1298"/>
    </row>
    <row r="171" spans="1:7" ht="12.05" customHeight="1">
      <c r="A171" s="172"/>
      <c r="B171" s="172"/>
      <c r="C171" s="172"/>
    </row>
    <row r="172" spans="1:7">
      <c r="A172" s="1281" t="s">
        <v>1070</v>
      </c>
      <c r="B172" s="1281"/>
      <c r="C172" s="1281"/>
      <c r="D172" s="1281"/>
      <c r="E172" s="1281"/>
      <c r="F172" s="1281"/>
      <c r="G172" s="1281"/>
    </row>
    <row r="173" spans="1:7" ht="12.05" customHeight="1">
      <c r="A173" s="2"/>
      <c r="B173" s="2"/>
      <c r="E173" s="2"/>
    </row>
    <row r="174" spans="1:7" ht="13.25" customHeight="1">
      <c r="A174" s="2"/>
      <c r="B174" s="2"/>
      <c r="D174" s="1295" t="s">
        <v>1178</v>
      </c>
      <c r="E174" s="1295"/>
      <c r="F174" s="1295"/>
    </row>
    <row r="175" spans="1:7">
      <c r="A175" s="2"/>
      <c r="B175" s="2"/>
      <c r="D175" s="1295"/>
      <c r="E175" s="1295"/>
      <c r="F175" s="1295"/>
    </row>
    <row r="176" spans="1:7">
      <c r="A176" s="2"/>
      <c r="B176" s="2"/>
      <c r="D176" s="1296" t="s">
        <v>1179</v>
      </c>
      <c r="E176" s="1296"/>
      <c r="F176" s="1296"/>
    </row>
    <row r="177" spans="1:7" ht="12.05" customHeight="1">
      <c r="A177" s="2"/>
      <c r="B177" s="2"/>
      <c r="E177" s="2"/>
    </row>
    <row r="178" spans="1:7" ht="13.5">
      <c r="A178" s="176"/>
      <c r="B178" s="468" t="s">
        <v>307</v>
      </c>
      <c r="D178" s="1293" t="s">
        <v>1177</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1086</v>
      </c>
      <c r="E183" s="1297"/>
      <c r="F183" s="1297"/>
    </row>
    <row r="184" spans="1:7">
      <c r="D184" s="1297"/>
      <c r="E184" s="1297"/>
      <c r="F184" s="1297"/>
    </row>
    <row r="185" spans="1:7">
      <c r="D185" s="475"/>
      <c r="E185" s="475"/>
      <c r="F185" s="475"/>
    </row>
    <row r="186" spans="1:7" ht="13.5">
      <c r="A186" s="176"/>
      <c r="B186" s="468" t="s">
        <v>307</v>
      </c>
      <c r="C186" s="385"/>
      <c r="D186" s="1266" t="s">
        <v>1176</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1071</v>
      </c>
      <c r="B191" s="1281"/>
      <c r="C191" s="1281"/>
      <c r="D191" s="1281"/>
      <c r="E191" s="1281"/>
      <c r="F191" s="1281"/>
      <c r="G191" s="1281"/>
    </row>
    <row r="192" spans="1:7" ht="12.05" customHeight="1">
      <c r="D192" s="35"/>
      <c r="E192" s="35"/>
      <c r="F192" s="35"/>
    </row>
    <row r="193" spans="1:6">
      <c r="C193" s="177"/>
      <c r="D193" s="1282" t="s">
        <v>208</v>
      </c>
      <c r="E193" s="1282"/>
      <c r="F193" s="1282"/>
    </row>
    <row r="194" spans="1:6">
      <c r="A194" s="172"/>
      <c r="B194" s="172"/>
      <c r="C194" s="172"/>
      <c r="D194" s="1277" t="s">
        <v>1200</v>
      </c>
      <c r="E194" s="1285"/>
      <c r="F194" s="1285"/>
    </row>
    <row r="195" spans="1:6" ht="12.05" customHeight="1">
      <c r="A195" s="13"/>
      <c r="B195" s="13"/>
      <c r="C195" s="13"/>
    </row>
    <row r="196" spans="1:6" ht="13.25" customHeight="1">
      <c r="A196" s="13"/>
      <c r="C196" s="13"/>
      <c r="D196" s="1282" t="s">
        <v>553</v>
      </c>
      <c r="E196" s="1282"/>
      <c r="F196" s="1282"/>
    </row>
    <row r="197" spans="1:6" ht="13.5">
      <c r="A197" s="176"/>
      <c r="B197" s="468" t="s">
        <v>307</v>
      </c>
      <c r="D197" s="1266" t="s">
        <v>1194</v>
      </c>
      <c r="E197" s="1266"/>
      <c r="F197" s="1266"/>
    </row>
    <row r="198" spans="1:6" ht="13.5">
      <c r="A198" s="176"/>
      <c r="B198" s="176"/>
      <c r="D198" s="1266"/>
      <c r="E198" s="1266"/>
      <c r="F198" s="1266"/>
    </row>
    <row r="199" spans="1:6"/>
    <row r="200" spans="1:6" ht="13.5">
      <c r="A200" s="176"/>
      <c r="B200" s="468" t="s">
        <v>307</v>
      </c>
      <c r="D200" s="1266" t="s">
        <v>1195</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1196</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307</v>
      </c>
      <c r="D210" s="1266" t="s">
        <v>1197</v>
      </c>
      <c r="E210" s="1266"/>
      <c r="F210" s="1266"/>
    </row>
    <row r="211" spans="1:7" ht="13.5">
      <c r="A211" s="176"/>
      <c r="B211" s="176"/>
      <c r="D211" s="1266"/>
      <c r="E211" s="1266"/>
      <c r="F211" s="1266"/>
    </row>
    <row r="212" spans="1:7" ht="13.5">
      <c r="A212" s="176"/>
      <c r="B212" s="176"/>
      <c r="D212" s="1298" t="s">
        <v>907</v>
      </c>
      <c r="E212" s="1298"/>
      <c r="F212" s="1298"/>
    </row>
    <row r="213" spans="1:7" ht="13.5">
      <c r="A213" s="176"/>
      <c r="B213" s="176"/>
      <c r="D213" s="35"/>
      <c r="E213" s="35"/>
      <c r="F213" s="35"/>
    </row>
    <row r="214" spans="1:7" ht="14.5" customHeight="1">
      <c r="A214" s="176"/>
      <c r="B214" s="468" t="s">
        <v>307</v>
      </c>
      <c r="D214" s="1266" t="s">
        <v>1199</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307</v>
      </c>
      <c r="D220" s="1266" t="s">
        <v>1198</v>
      </c>
      <c r="E220" s="1266"/>
      <c r="F220" s="1266"/>
    </row>
    <row r="221" spans="1:7" ht="13.5">
      <c r="A221" s="176"/>
      <c r="B221" s="176"/>
      <c r="D221" s="1266"/>
      <c r="E221" s="1266"/>
      <c r="F221" s="1266"/>
    </row>
    <row r="222" spans="1:7">
      <c r="D222" s="19"/>
    </row>
    <row r="223" spans="1:7">
      <c r="A223" s="1281" t="s">
        <v>1072</v>
      </c>
      <c r="B223" s="1281"/>
      <c r="C223" s="1281"/>
      <c r="D223" s="1281"/>
      <c r="E223" s="1281"/>
      <c r="F223" s="1281"/>
      <c r="G223" s="1281"/>
    </row>
    <row r="224" spans="1:7">
      <c r="D224" s="19"/>
    </row>
    <row r="225" spans="1:6">
      <c r="C225" s="177"/>
      <c r="D225" s="1282" t="s">
        <v>1201</v>
      </c>
      <c r="E225" s="1282"/>
      <c r="F225" s="1282"/>
    </row>
    <row r="226" spans="1:6">
      <c r="A226" s="172"/>
      <c r="B226" s="172"/>
      <c r="C226" s="172"/>
      <c r="D226" s="35"/>
      <c r="E226" s="35"/>
      <c r="F226" s="35"/>
    </row>
    <row r="227" spans="1:6">
      <c r="A227" s="175"/>
      <c r="B227" s="175"/>
      <c r="C227" s="175"/>
      <c r="D227" s="1282" t="s">
        <v>269</v>
      </c>
      <c r="E227" s="1282"/>
      <c r="F227" s="1282"/>
    </row>
    <row r="228" spans="1:6" ht="13.5">
      <c r="A228" s="176"/>
      <c r="B228" s="468" t="s">
        <v>307</v>
      </c>
      <c r="D228" s="1284" t="s">
        <v>1202</v>
      </c>
      <c r="E228" s="1284"/>
      <c r="F228" s="1284"/>
    </row>
    <row r="229" spans="1:6" ht="13.5">
      <c r="A229" s="176"/>
      <c r="B229" s="176"/>
      <c r="D229" s="1284"/>
      <c r="E229" s="1284"/>
      <c r="F229" s="1284"/>
    </row>
    <row r="230" spans="1:6">
      <c r="D230" s="35"/>
      <c r="E230" s="35"/>
      <c r="F230" s="35"/>
    </row>
    <row r="231" spans="1:6" ht="14.5" customHeight="1">
      <c r="A231" s="176"/>
      <c r="B231" s="468" t="s">
        <v>307</v>
      </c>
      <c r="D231" s="1266" t="s">
        <v>1203</v>
      </c>
      <c r="E231" s="1266"/>
      <c r="F231" s="1266"/>
    </row>
    <row r="232" spans="1:6">
      <c r="D232" s="1266"/>
      <c r="E232" s="1266"/>
      <c r="F232" s="1266"/>
    </row>
    <row r="233" spans="1:6">
      <c r="D233" s="1285" t="s">
        <v>899</v>
      </c>
      <c r="E233" s="1285"/>
      <c r="F233" s="1285"/>
    </row>
    <row r="234" spans="1:6">
      <c r="D234" s="35"/>
      <c r="E234" s="35"/>
      <c r="F234" s="35"/>
    </row>
    <row r="235" spans="1:6" ht="14.5" customHeight="1">
      <c r="A235" s="176"/>
      <c r="B235" s="468" t="s">
        <v>307</v>
      </c>
      <c r="D235" s="1266" t="s">
        <v>1205</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307</v>
      </c>
      <c r="D241" s="1266" t="s">
        <v>1204</v>
      </c>
      <c r="E241" s="1266"/>
      <c r="F241" s="1266"/>
    </row>
    <row r="242" spans="1:7">
      <c r="D242" s="1266"/>
      <c r="E242" s="1266"/>
      <c r="F242" s="1266"/>
    </row>
    <row r="243" spans="1:7">
      <c r="D243" s="1266"/>
      <c r="E243" s="1266"/>
      <c r="F243" s="1266"/>
    </row>
    <row r="244" spans="1:7">
      <c r="D244" s="178"/>
      <c r="E244" s="35"/>
      <c r="F244" s="35"/>
    </row>
    <row r="245" spans="1:7">
      <c r="A245" s="1281" t="s">
        <v>1073</v>
      </c>
      <c r="B245" s="1281"/>
      <c r="C245" s="1281"/>
      <c r="D245" s="1281"/>
      <c r="E245" s="1281"/>
      <c r="F245" s="1281"/>
      <c r="G245" s="1281"/>
    </row>
    <row r="246" spans="1:7">
      <c r="D246" s="178"/>
      <c r="E246" s="35"/>
      <c r="F246" s="35"/>
    </row>
    <row r="247" spans="1:7">
      <c r="C247" s="172"/>
      <c r="D247" s="1299" t="s">
        <v>1206</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8" customHeight="1">
      <c r="A251" s="176"/>
      <c r="B251" s="176"/>
      <c r="D251" s="1288" t="s">
        <v>1207</v>
      </c>
      <c r="E251" s="1288"/>
      <c r="F251" s="1288"/>
    </row>
    <row r="252" spans="1:7">
      <c r="E252" s="35"/>
      <c r="F252" s="35"/>
    </row>
    <row r="253" spans="1:7" ht="13.5">
      <c r="A253" s="176"/>
      <c r="B253" s="468" t="s">
        <v>307</v>
      </c>
      <c r="D253" s="1266" t="s">
        <v>1208</v>
      </c>
      <c r="E253" s="1266"/>
      <c r="F253" s="1266"/>
    </row>
    <row r="254" spans="1:7" ht="13.5">
      <c r="A254" s="176"/>
      <c r="B254" s="176"/>
      <c r="D254" s="1266"/>
      <c r="E254" s="1266"/>
      <c r="F254" s="1266"/>
    </row>
    <row r="255" spans="1:7">
      <c r="D255" s="35"/>
      <c r="E255" s="35"/>
      <c r="F255" s="35"/>
    </row>
    <row r="256" spans="1:7" ht="13.5">
      <c r="A256" s="176"/>
      <c r="B256" s="468" t="s">
        <v>307</v>
      </c>
      <c r="D256" s="1266" t="s">
        <v>1209</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307</v>
      </c>
      <c r="D260" s="1266" t="s">
        <v>1210</v>
      </c>
      <c r="E260" s="1266"/>
      <c r="F260" s="1266"/>
    </row>
    <row r="261" spans="1:7" ht="13.5">
      <c r="A261" s="176"/>
      <c r="B261" s="176"/>
      <c r="D261" s="1266"/>
      <c r="E261" s="1266"/>
      <c r="F261" s="1266"/>
    </row>
    <row r="262" spans="1:7">
      <c r="A262" s="13"/>
      <c r="B262" s="13"/>
      <c r="E262" s="35"/>
      <c r="F262" s="35"/>
    </row>
    <row r="263" spans="1:7">
      <c r="A263" s="1281" t="s">
        <v>1074</v>
      </c>
      <c r="B263" s="1281"/>
      <c r="C263" s="1281"/>
      <c r="D263" s="1281"/>
      <c r="E263" s="1281"/>
      <c r="F263" s="1281"/>
      <c r="G263" s="1281"/>
    </row>
    <row r="264" spans="1:7">
      <c r="A264" s="13"/>
      <c r="B264" s="13"/>
      <c r="D264" s="35"/>
      <c r="E264" s="35"/>
      <c r="F264" s="35"/>
    </row>
    <row r="265" spans="1:7">
      <c r="C265" s="13"/>
      <c r="D265" s="1282" t="s">
        <v>688</v>
      </c>
      <c r="E265" s="1282"/>
      <c r="F265" s="1282"/>
    </row>
    <row r="266" spans="1:7">
      <c r="C266" s="13"/>
      <c r="D266" s="1277" t="s">
        <v>1211</v>
      </c>
      <c r="E266" s="1277"/>
      <c r="F266" s="1277"/>
    </row>
    <row r="267" spans="1:7">
      <c r="C267" s="13"/>
      <c r="D267" s="173"/>
    </row>
    <row r="268" spans="1:7">
      <c r="B268" s="468" t="s">
        <v>307</v>
      </c>
      <c r="D268" s="1277" t="s">
        <v>1212</v>
      </c>
      <c r="E268" s="1277"/>
      <c r="F268" s="1277"/>
    </row>
    <row r="269" spans="1:7" ht="13.5">
      <c r="A269" s="176"/>
      <c r="B269" s="176"/>
      <c r="D269" s="341"/>
      <c r="E269" s="342"/>
      <c r="F269" s="342"/>
    </row>
    <row r="270" spans="1:7" ht="13.25" customHeight="1">
      <c r="B270" s="468" t="s">
        <v>307</v>
      </c>
      <c r="D270" s="1286" t="s">
        <v>1213</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307</v>
      </c>
      <c r="D276" s="1286" t="s">
        <v>1214</v>
      </c>
      <c r="E276" s="1286"/>
      <c r="F276" s="1286"/>
    </row>
    <row r="277" spans="1:6">
      <c r="D277" s="1286"/>
      <c r="E277" s="1286"/>
      <c r="F277" s="1286"/>
    </row>
    <row r="278" spans="1:6" ht="13.5">
      <c r="A278" s="176"/>
      <c r="B278" s="176"/>
      <c r="D278" s="341"/>
      <c r="E278" s="342"/>
      <c r="F278" s="342"/>
    </row>
    <row r="279" spans="1:6">
      <c r="B279" s="468" t="s">
        <v>307</v>
      </c>
      <c r="D279" s="1277" t="s">
        <v>1215</v>
      </c>
      <c r="E279" s="1277"/>
      <c r="F279" s="1277"/>
    </row>
    <row r="280" spans="1:6">
      <c r="E280" s="35"/>
      <c r="F280" s="35"/>
    </row>
    <row r="281" spans="1:6" ht="13.5">
      <c r="A281" s="176"/>
      <c r="B281" s="468" t="s">
        <v>307</v>
      </c>
      <c r="D281" s="1266" t="s">
        <v>1216</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307</v>
      </c>
      <c r="D297" s="1266" t="s">
        <v>1217</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307</v>
      </c>
      <c r="D307" s="1266" t="s">
        <v>1218</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995</v>
      </c>
      <c r="E314" s="1289"/>
      <c r="F314" s="1289"/>
      <c r="G314"/>
    </row>
    <row r="315" spans="1:7" ht="12.95" thickTop="1">
      <c r="D315" s="1290" t="s">
        <v>1219</v>
      </c>
      <c r="E315" s="1290"/>
      <c r="F315" s="1290"/>
      <c r="G315"/>
    </row>
    <row r="316" spans="1:7">
      <c r="A316" s="218"/>
      <c r="B316" s="218"/>
      <c r="C316" s="218"/>
      <c r="D316" s="220"/>
      <c r="E316" s="220"/>
      <c r="F316" s="35"/>
      <c r="G316"/>
    </row>
    <row r="317" spans="1:7" ht="13.5">
      <c r="A317" s="176"/>
      <c r="B317" s="468" t="s">
        <v>307</v>
      </c>
      <c r="C317" s="218"/>
      <c r="D317" s="1279" t="s">
        <v>1220</v>
      </c>
      <c r="E317" s="1279"/>
      <c r="F317" s="1279"/>
      <c r="G317"/>
    </row>
    <row r="318" spans="1:7">
      <c r="A318" s="218"/>
      <c r="B318" s="218"/>
      <c r="C318" s="218"/>
      <c r="D318" s="220"/>
      <c r="E318" s="220"/>
      <c r="F318" s="35"/>
      <c r="G318"/>
    </row>
    <row r="319" spans="1:7">
      <c r="A319" s="218"/>
      <c r="B319" s="468" t="s">
        <v>307</v>
      </c>
      <c r="C319" s="218"/>
      <c r="D319" s="1275" t="s">
        <v>1221</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307</v>
      </c>
      <c r="C331" s="218"/>
      <c r="D331" s="1275" t="s">
        <v>1222</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1223</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1224</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1225</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307</v>
      </c>
      <c r="C367" s="218"/>
      <c r="D367" s="1275" t="s">
        <v>1226</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307</v>
      </c>
      <c r="C373" s="179"/>
      <c r="D373" s="1266" t="s">
        <v>1227</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307</v>
      </c>
      <c r="C405" s="179"/>
      <c r="D405" s="1277" t="s">
        <v>1228</v>
      </c>
      <c r="E405" s="1277"/>
      <c r="F405" s="1277"/>
    </row>
    <row r="406" spans="1:7">
      <c r="D406" s="1287" t="s">
        <v>1003</v>
      </c>
      <c r="E406" s="1287"/>
      <c r="F406" s="1287"/>
    </row>
    <row r="407" spans="1:7">
      <c r="D407" s="1266" t="s">
        <v>1229</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307</v>
      </c>
      <c r="C412" s="179"/>
      <c r="D412" s="1266" t="s">
        <v>1230</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307</v>
      </c>
      <c r="C416" s="176"/>
      <c r="D416" s="1266" t="s">
        <v>1231</v>
      </c>
      <c r="E416" s="1266"/>
      <c r="F416" s="1266"/>
      <c r="G416"/>
    </row>
    <row r="417" spans="1:7">
      <c r="D417" s="1266"/>
      <c r="E417" s="1266"/>
      <c r="F417" s="1266"/>
      <c r="G417"/>
    </row>
    <row r="418" spans="1:7">
      <c r="D418" s="35"/>
      <c r="E418" s="35"/>
      <c r="F418" s="35"/>
      <c r="G418"/>
    </row>
    <row r="419" spans="1:7" ht="13.5">
      <c r="B419" s="468" t="s">
        <v>307</v>
      </c>
      <c r="C419" s="176"/>
      <c r="D419" s="1266" t="s">
        <v>1232</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1233</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1234</v>
      </c>
      <c r="E440" s="1277"/>
      <c r="F440" s="1277"/>
    </row>
    <row r="441" spans="1:7">
      <c r="A441" s="35"/>
      <c r="B441" s="35"/>
    </row>
    <row r="442" spans="1:7">
      <c r="A442" s="1281" t="s">
        <v>1075</v>
      </c>
      <c r="B442" s="1281"/>
      <c r="C442" s="1281"/>
      <c r="D442" s="1281"/>
      <c r="E442" s="1281"/>
      <c r="F442" s="1281"/>
      <c r="G442" s="1281"/>
    </row>
    <row r="443" spans="1:7">
      <c r="A443" s="35"/>
      <c r="B443" s="35"/>
    </row>
    <row r="444" spans="1:7">
      <c r="D444" s="1278" t="s">
        <v>893</v>
      </c>
      <c r="E444" s="1278"/>
      <c r="F444" s="1278"/>
    </row>
    <row r="445" spans="1:7" ht="13.5">
      <c r="A445" s="176"/>
      <c r="B445" s="176"/>
      <c r="D445" s="1279" t="s">
        <v>1235</v>
      </c>
      <c r="E445" s="1279"/>
      <c r="F445" s="1279"/>
    </row>
    <row r="446" spans="1:7" ht="13.5">
      <c r="A446" s="176"/>
      <c r="B446" s="176"/>
      <c r="D446" s="481"/>
      <c r="E446" s="3"/>
      <c r="F446" s="3"/>
    </row>
    <row r="447" spans="1:7" ht="13.5">
      <c r="A447" s="176"/>
      <c r="B447" s="468" t="s">
        <v>307</v>
      </c>
      <c r="D447" s="1275" t="s">
        <v>1236</v>
      </c>
      <c r="E447" s="1275"/>
      <c r="F447" s="1275"/>
    </row>
    <row r="448" spans="1:7" ht="13.5">
      <c r="A448" s="176"/>
      <c r="B448" s="176"/>
      <c r="D448" s="1275"/>
      <c r="E448" s="1275"/>
      <c r="F448" s="1275"/>
    </row>
    <row r="449" spans="1:7" ht="13.5">
      <c r="A449" s="176"/>
      <c r="B449" s="176"/>
      <c r="D449" s="118"/>
      <c r="E449" s="3"/>
      <c r="F449" s="3"/>
    </row>
    <row r="450" spans="1:7">
      <c r="B450" s="468" t="s">
        <v>307</v>
      </c>
      <c r="D450" s="1280" t="s">
        <v>1237</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307</v>
      </c>
      <c r="D455" s="1266" t="s">
        <v>1238</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307</v>
      </c>
      <c r="D459" s="1277" t="s">
        <v>1239</v>
      </c>
      <c r="E459" s="1277"/>
      <c r="F459" s="1277"/>
      <c r="G459"/>
    </row>
    <row r="460" spans="1:7" ht="13.5">
      <c r="A460" s="176"/>
      <c r="B460" s="176"/>
      <c r="D460" s="118"/>
      <c r="E460" s="3"/>
      <c r="F460" s="3"/>
      <c r="G460"/>
    </row>
    <row r="461" spans="1:7" ht="13.5">
      <c r="A461" s="176"/>
      <c r="B461" s="468" t="s">
        <v>307</v>
      </c>
      <c r="D461" s="1266" t="s">
        <v>1240</v>
      </c>
      <c r="E461" s="1266"/>
      <c r="F461" s="1266"/>
      <c r="G461"/>
    </row>
    <row r="462" spans="1:7" ht="13.5">
      <c r="A462" s="176"/>
      <c r="D462" s="1266"/>
      <c r="E462" s="1266"/>
      <c r="F462" s="1266"/>
      <c r="G462"/>
    </row>
    <row r="463" spans="1:7">
      <c r="A463" s="13"/>
      <c r="B463" s="13"/>
      <c r="D463" s="481"/>
      <c r="E463" s="3"/>
      <c r="F463" s="3"/>
      <c r="G463"/>
    </row>
    <row r="464" spans="1:7">
      <c r="A464" s="13"/>
      <c r="B464" s="468" t="s">
        <v>307</v>
      </c>
      <c r="D464" s="1277" t="s">
        <v>1241</v>
      </c>
      <c r="E464" s="1277"/>
      <c r="F464" s="1277"/>
      <c r="G464"/>
    </row>
    <row r="465" spans="1:7" ht="13.5">
      <c r="A465" s="176"/>
      <c r="B465" s="176"/>
      <c r="D465" s="35"/>
    </row>
    <row r="466" spans="1:7">
      <c r="A466" s="1281" t="s">
        <v>1076</v>
      </c>
      <c r="B466" s="1281"/>
      <c r="C466" s="1281"/>
      <c r="D466" s="1281"/>
      <c r="E466" s="1281"/>
      <c r="F466" s="1281"/>
      <c r="G466" s="1281"/>
    </row>
    <row r="467" spans="1:7" ht="12.05" customHeight="1">
      <c r="A467" s="176"/>
      <c r="B467" s="176"/>
      <c r="D467" s="35"/>
    </row>
    <row r="468" spans="1:7">
      <c r="C468" s="172"/>
      <c r="D468" s="1282" t="s">
        <v>800</v>
      </c>
      <c r="E468" s="1282"/>
      <c r="F468" s="1282"/>
    </row>
    <row r="469" spans="1:7" ht="13.25" customHeight="1">
      <c r="A469" s="175"/>
      <c r="B469" s="175"/>
      <c r="C469" s="175"/>
      <c r="D469" s="1283" t="s">
        <v>1119</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307</v>
      </c>
      <c r="C475" s="175"/>
      <c r="D475" s="1297" t="s">
        <v>1110</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307</v>
      </c>
      <c r="C481" s="175"/>
      <c r="D481" s="1297" t="s">
        <v>1113</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307</v>
      </c>
      <c r="C486" s="175"/>
      <c r="D486" s="1297" t="s">
        <v>1111</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307</v>
      </c>
      <c r="C490" s="175"/>
      <c r="D490" s="1297" t="s">
        <v>1112</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307</v>
      </c>
      <c r="C500" s="175"/>
      <c r="D500" s="1275" t="s">
        <v>1256</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307</v>
      </c>
      <c r="D506" s="1297" t="s">
        <v>1114</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1077</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1078</v>
      </c>
      <c r="B514" s="1312"/>
      <c r="C514" s="1312"/>
      <c r="D514" s="1312"/>
      <c r="E514" s="1312"/>
      <c r="F514" s="1312"/>
      <c r="G514" s="1312"/>
    </row>
    <row r="515" spans="1:7">
      <c r="A515" s="35"/>
      <c r="B515" s="35"/>
      <c r="C515" s="179"/>
      <c r="D515" s="35"/>
      <c r="F515" s="35"/>
    </row>
    <row r="516" spans="1:7">
      <c r="C516" s="179"/>
      <c r="D516" s="1282" t="s">
        <v>689</v>
      </c>
      <c r="E516" s="1282"/>
      <c r="F516" s="1282"/>
    </row>
    <row r="517" spans="1:7">
      <c r="C517" s="179"/>
      <c r="D517" s="1277" t="s">
        <v>1135</v>
      </c>
      <c r="E517" s="1277"/>
      <c r="F517" s="1277"/>
    </row>
    <row r="518" spans="1:7">
      <c r="C518" s="179"/>
      <c r="D518" s="118"/>
      <c r="E518" s="118"/>
      <c r="F518" s="118"/>
    </row>
    <row r="519" spans="1:7" ht="13.25" customHeight="1">
      <c r="A519" s="176"/>
      <c r="B519" s="468" t="s">
        <v>307</v>
      </c>
      <c r="C519" s="179"/>
      <c r="D519" s="1277" t="s">
        <v>894</v>
      </c>
      <c r="E519" s="1277"/>
      <c r="F519" s="1277"/>
      <c r="G519"/>
    </row>
    <row r="520" spans="1:7" ht="13.25" customHeight="1">
      <c r="A520" s="179"/>
      <c r="B520" s="179"/>
      <c r="C520" s="179"/>
      <c r="D520" s="118"/>
      <c r="E520"/>
      <c r="F520"/>
      <c r="G520"/>
    </row>
    <row r="521" spans="1:7" ht="13.5">
      <c r="A521" s="176"/>
      <c r="B521" s="468" t="s">
        <v>307</v>
      </c>
      <c r="C521" s="179"/>
      <c r="D521" s="1266" t="s">
        <v>1136</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307</v>
      </c>
      <c r="C524" s="179"/>
      <c r="D524" s="1266" t="s">
        <v>1137</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307</v>
      </c>
      <c r="C527" s="179"/>
      <c r="D527" s="1266" t="s">
        <v>1138</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307</v>
      </c>
      <c r="C530" s="179"/>
      <c r="D530" s="1266" t="s">
        <v>1139</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307</v>
      </c>
      <c r="C534" s="179"/>
      <c r="D534" s="1266" t="s">
        <v>1257</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307</v>
      </c>
      <c r="C537" s="179"/>
      <c r="D537" s="1266" t="s">
        <v>1140</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307</v>
      </c>
      <c r="C540" s="179"/>
      <c r="D540" s="1266" t="s">
        <v>1141</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307</v>
      </c>
      <c r="C543" s="179"/>
      <c r="D543" s="1277" t="s">
        <v>1142</v>
      </c>
      <c r="E543" s="1277"/>
      <c r="F543" s="1277"/>
    </row>
    <row r="544" spans="1:7">
      <c r="A544" s="13"/>
      <c r="B544" s="13"/>
      <c r="C544" s="179"/>
      <c r="D544" s="1277" t="s">
        <v>827</v>
      </c>
      <c r="E544" s="1277"/>
      <c r="F544" s="1277"/>
    </row>
    <row r="545" spans="1:7">
      <c r="A545" s="13"/>
      <c r="B545" s="13"/>
      <c r="C545" s="179"/>
      <c r="D545" s="3"/>
      <c r="E545" s="1288" t="s">
        <v>1143</v>
      </c>
      <c r="F545" s="1288"/>
    </row>
    <row r="546" spans="1:7" ht="13.5">
      <c r="A546" s="176"/>
      <c r="B546" s="176"/>
      <c r="C546" s="179"/>
      <c r="E546" s="35"/>
      <c r="F546" s="35"/>
    </row>
    <row r="547" spans="1:7" ht="13.5">
      <c r="A547" s="176"/>
      <c r="B547" s="468" t="s">
        <v>307</v>
      </c>
      <c r="C547" s="179"/>
      <c r="D547" s="1277" t="s">
        <v>1144</v>
      </c>
      <c r="E547" s="1277"/>
      <c r="F547" s="1277"/>
    </row>
    <row r="548" spans="1:7">
      <c r="C548" s="179"/>
      <c r="D548" s="1266" t="s">
        <v>1145</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307</v>
      </c>
      <c r="C552" s="179"/>
      <c r="D552" s="1266" t="s">
        <v>1146</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1079</v>
      </c>
      <c r="B557" s="1281"/>
      <c r="C557" s="1281"/>
      <c r="D557" s="1281"/>
      <c r="E557" s="1281"/>
      <c r="F557" s="1281"/>
      <c r="G557" s="1281"/>
    </row>
    <row r="558" spans="1:7">
      <c r="A558" s="179"/>
      <c r="B558" s="179"/>
      <c r="C558" s="179"/>
      <c r="E558" s="35"/>
      <c r="F558" s="35"/>
    </row>
    <row r="559" spans="1:7" ht="12.7" customHeight="1">
      <c r="C559" s="172"/>
      <c r="D559" s="1299" t="s">
        <v>210</v>
      </c>
      <c r="E559" s="1299"/>
      <c r="F559" s="1299"/>
    </row>
    <row r="560" spans="1:7">
      <c r="A560" s="175"/>
      <c r="B560" s="175"/>
      <c r="C560" s="175"/>
      <c r="D560" s="1280" t="s">
        <v>1095</v>
      </c>
      <c r="E560" s="1280"/>
      <c r="F560" s="1280"/>
    </row>
    <row r="561" spans="1:6">
      <c r="A561"/>
      <c r="B561"/>
      <c r="C561" s="175"/>
      <c r="D561" s="255"/>
    </row>
    <row r="562" spans="1:6">
      <c r="A562" s="175"/>
      <c r="B562" s="468" t="s">
        <v>307</v>
      </c>
      <c r="D562" s="1280" t="s">
        <v>900</v>
      </c>
      <c r="E562" s="1280"/>
      <c r="F562" s="1280"/>
    </row>
    <row r="563" spans="1:6">
      <c r="A563" s="13"/>
      <c r="B563" s="13"/>
      <c r="D563" s="218"/>
    </row>
    <row r="564" spans="1:6">
      <c r="A564" s="13"/>
      <c r="B564" s="468" t="s">
        <v>307</v>
      </c>
      <c r="D564" s="1280" t="s">
        <v>1096</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1097</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1098</v>
      </c>
      <c r="E573" s="1280"/>
      <c r="F573" s="1280"/>
    </row>
    <row r="574" spans="1:6">
      <c r="A574" s="13"/>
      <c r="B574" s="13"/>
      <c r="D574" s="1280"/>
      <c r="E574" s="1280"/>
      <c r="F574" s="1280"/>
    </row>
    <row r="575" spans="1:6">
      <c r="A575" s="13"/>
      <c r="B575" s="13"/>
      <c r="D575" s="255"/>
    </row>
    <row r="576" spans="1:6">
      <c r="A576" s="13"/>
      <c r="B576" s="468" t="s">
        <v>307</v>
      </c>
      <c r="D576" s="1280" t="s">
        <v>1099</v>
      </c>
      <c r="E576" s="1280"/>
      <c r="F576" s="1280"/>
    </row>
    <row r="577" spans="1:7">
      <c r="A577" s="13"/>
      <c r="B577" s="13"/>
      <c r="D577" s="1280"/>
      <c r="E577" s="1280"/>
      <c r="F577" s="1280"/>
    </row>
    <row r="578" spans="1:7">
      <c r="A578" s="13"/>
      <c r="B578" s="13"/>
      <c r="D578" s="255"/>
    </row>
    <row r="579" spans="1:7" ht="13.5">
      <c r="A579" s="176"/>
      <c r="B579" s="468" t="s">
        <v>307</v>
      </c>
      <c r="D579" s="1280" t="s">
        <v>895</v>
      </c>
      <c r="E579" s="1280"/>
      <c r="F579" s="1280"/>
    </row>
    <row r="580" spans="1:7" ht="13.5">
      <c r="A580" s="176"/>
      <c r="B580" s="176"/>
      <c r="D580" s="255"/>
    </row>
    <row r="581" spans="1:7" ht="13.5">
      <c r="A581" s="176"/>
      <c r="B581" s="468" t="s">
        <v>307</v>
      </c>
      <c r="D581" s="1280" t="s">
        <v>1100</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1080</v>
      </c>
      <c r="B588" s="1281"/>
      <c r="C588" s="1281"/>
      <c r="D588" s="1281"/>
      <c r="E588" s="1281"/>
      <c r="F588" s="1281"/>
      <c r="G588" s="1281"/>
    </row>
    <row r="589" spans="1:7"/>
    <row r="590" spans="1:7">
      <c r="D590" s="1292" t="s">
        <v>1180</v>
      </c>
      <c r="E590" s="1292"/>
      <c r="F590" s="1292"/>
    </row>
    <row r="591" spans="1:7">
      <c r="D591" s="1315" t="s">
        <v>1181</v>
      </c>
      <c r="E591" s="1315"/>
      <c r="F591" s="1315"/>
    </row>
    <row r="592" spans="1:7">
      <c r="D592" s="478"/>
      <c r="E592" s="433"/>
      <c r="F592" s="433"/>
    </row>
    <row r="593" spans="1:7" ht="13.5">
      <c r="A593" s="176"/>
      <c r="B593" s="468" t="s">
        <v>307</v>
      </c>
      <c r="D593" s="1293" t="s">
        <v>1182</v>
      </c>
      <c r="E593" s="1293"/>
      <c r="F593" s="1293"/>
    </row>
    <row r="594" spans="1:7">
      <c r="D594" s="1293"/>
      <c r="E594" s="1293"/>
      <c r="F594" s="1293"/>
    </row>
    <row r="595" spans="1:7">
      <c r="D595" s="1293"/>
      <c r="E595" s="1293"/>
      <c r="F595" s="1293"/>
    </row>
    <row r="596" spans="1:7"/>
    <row r="597" spans="1:7">
      <c r="A597" s="1281" t="s">
        <v>1081</v>
      </c>
      <c r="B597" s="1281"/>
      <c r="C597" s="1281"/>
      <c r="D597" s="1281"/>
      <c r="E597" s="1281"/>
      <c r="F597" s="1281"/>
      <c r="G597" s="1281"/>
    </row>
    <row r="598" spans="1:7">
      <c r="A598" s="35"/>
      <c r="B598" s="35"/>
    </row>
    <row r="599" spans="1:7">
      <c r="A599" s="172"/>
      <c r="B599" s="172"/>
      <c r="C599" s="172"/>
      <c r="D599" s="1316" t="s">
        <v>1183</v>
      </c>
      <c r="E599" s="1316"/>
      <c r="F599" s="1316"/>
    </row>
    <row r="600" spans="1:7">
      <c r="A600" s="172"/>
      <c r="B600" s="172"/>
      <c r="C600" s="172"/>
      <c r="D600" s="1316"/>
      <c r="E600" s="1316"/>
      <c r="F600" s="1316"/>
    </row>
    <row r="601" spans="1:7">
      <c r="C601" s="175"/>
      <c r="D601" s="1315" t="s">
        <v>1184</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1185</v>
      </c>
      <c r="E605" s="1291"/>
      <c r="F605" s="1291"/>
    </row>
    <row r="606" spans="1:7">
      <c r="D606" s="1291"/>
      <c r="E606" s="1291"/>
      <c r="F606" s="1291"/>
    </row>
    <row r="607" spans="1:7">
      <c r="D607"/>
    </row>
    <row r="608" spans="1:7">
      <c r="B608" s="468" t="s">
        <v>307</v>
      </c>
      <c r="D608" s="1291" t="s">
        <v>1186</v>
      </c>
      <c r="E608" s="1291"/>
      <c r="F608" s="1291"/>
    </row>
    <row r="609" spans="1:7">
      <c r="C609" s="180"/>
      <c r="D609" s="1291"/>
      <c r="E609" s="1291"/>
      <c r="F609" s="1291"/>
    </row>
    <row r="610" spans="1:7">
      <c r="C610" s="180"/>
    </row>
    <row r="611" spans="1:7">
      <c r="B611" s="468" t="s">
        <v>307</v>
      </c>
      <c r="C611" s="180"/>
      <c r="D611" s="1291" t="s">
        <v>1187</v>
      </c>
      <c r="E611" s="1291"/>
      <c r="F611" s="1291"/>
    </row>
    <row r="612" spans="1:7">
      <c r="C612" s="180"/>
      <c r="D612" s="1291"/>
      <c r="E612" s="1291"/>
      <c r="F612" s="1291"/>
    </row>
    <row r="613" spans="1:7">
      <c r="C613" s="180"/>
    </row>
    <row r="614" spans="1:7">
      <c r="A614" s="1281" t="s">
        <v>1082</v>
      </c>
      <c r="B614" s="1281"/>
      <c r="C614" s="1281"/>
      <c r="D614" s="1281"/>
      <c r="E614" s="1281"/>
      <c r="F614" s="1281"/>
      <c r="G614" s="1281"/>
    </row>
    <row r="615" spans="1:7">
      <c r="A615" s="172"/>
      <c r="B615" s="172"/>
      <c r="C615" s="172"/>
    </row>
    <row r="616" spans="1:7">
      <c r="C616" s="13"/>
      <c r="D616" s="1292" t="s">
        <v>1188</v>
      </c>
      <c r="E616" s="1292"/>
      <c r="F616" s="1292"/>
    </row>
    <row r="617" spans="1:7">
      <c r="A617" s="13"/>
      <c r="B617" s="13"/>
      <c r="D617" s="2"/>
    </row>
    <row r="618" spans="1:7" ht="13.5">
      <c r="A618" s="176"/>
      <c r="B618" s="468" t="s">
        <v>307</v>
      </c>
      <c r="D618" s="1293" t="s">
        <v>1189</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307</v>
      </c>
      <c r="D625" s="1293" t="s">
        <v>1190</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307</v>
      </c>
      <c r="C628" s="179"/>
      <c r="D628" s="1293" t="s">
        <v>1191</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1192</v>
      </c>
      <c r="E633" s="1294"/>
      <c r="F633" s="1294"/>
    </row>
    <row r="634" spans="1:7">
      <c r="A634" s="179"/>
      <c r="B634" s="179"/>
      <c r="C634" s="179"/>
      <c r="D634" s="480"/>
      <c r="E634" s="480"/>
      <c r="F634" s="480"/>
    </row>
    <row r="635" spans="1:7">
      <c r="A635" s="1281" t="s">
        <v>1083</v>
      </c>
      <c r="B635" s="1281"/>
      <c r="C635" s="1281"/>
      <c r="D635" s="1281"/>
      <c r="E635" s="1281"/>
      <c r="F635" s="1281"/>
      <c r="G635" s="1281"/>
    </row>
    <row r="636" spans="1:7">
      <c r="A636" s="35"/>
      <c r="B636" s="35"/>
      <c r="C636" s="179"/>
      <c r="D636" s="35"/>
      <c r="E636" s="35"/>
      <c r="F636" s="35"/>
    </row>
    <row r="637" spans="1:7">
      <c r="C637" s="172"/>
      <c r="D637" s="1282" t="s">
        <v>1242</v>
      </c>
      <c r="E637" s="1282"/>
      <c r="F637" s="1282"/>
    </row>
    <row r="638" spans="1:7">
      <c r="A638" s="175"/>
      <c r="B638" s="175"/>
      <c r="C638" s="175"/>
      <c r="D638" s="1277" t="s">
        <v>1243</v>
      </c>
      <c r="E638" s="1277"/>
      <c r="F638" s="1277"/>
    </row>
    <row r="639" spans="1:7">
      <c r="A639" s="175"/>
      <c r="B639" s="175"/>
      <c r="C639" s="175"/>
      <c r="D639" s="118"/>
      <c r="E639" s="118"/>
      <c r="F639" s="118"/>
    </row>
    <row r="640" spans="1:7" ht="14.5" customHeight="1">
      <c r="A640" s="176"/>
      <c r="B640" s="468" t="s">
        <v>307</v>
      </c>
      <c r="C640" s="179"/>
      <c r="D640" s="1266" t="s">
        <v>1244</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307</v>
      </c>
      <c r="C646" s="179"/>
      <c r="D646" s="1305" t="s">
        <v>1094</v>
      </c>
      <c r="E646" s="1305"/>
      <c r="F646" s="1305"/>
    </row>
    <row r="647" spans="1:11" ht="13.5">
      <c r="A647" s="176"/>
      <c r="B647" s="176"/>
      <c r="C647" s="179"/>
      <c r="D647" s="1306" t="s">
        <v>1245</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1246</v>
      </c>
      <c r="E652" s="1307"/>
      <c r="F652" s="1307"/>
    </row>
    <row r="653" spans="1:11">
      <c r="A653" s="179"/>
      <c r="B653" s="179"/>
      <c r="C653" s="179"/>
      <c r="D653" s="35"/>
      <c r="E653" s="35"/>
      <c r="F653" s="35"/>
    </row>
    <row r="654" spans="1:11">
      <c r="A654" s="1281" t="s">
        <v>1084</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1120</v>
      </c>
      <c r="E658" s="1277"/>
      <c r="F658" s="1277"/>
      <c r="H658" s="181"/>
      <c r="I658" s="181"/>
      <c r="J658" s="181"/>
      <c r="K658" s="181"/>
    </row>
    <row r="659" spans="1:11">
      <c r="A659" s="175"/>
      <c r="B659" s="175"/>
      <c r="C659" s="175"/>
      <c r="H659" s="181"/>
      <c r="I659" s="181"/>
      <c r="J659" s="181"/>
      <c r="K659" s="181"/>
    </row>
    <row r="660" spans="1:11" ht="13.5">
      <c r="A660" s="176"/>
      <c r="B660" s="468" t="s">
        <v>307</v>
      </c>
      <c r="C660" s="175"/>
      <c r="D660" s="1277" t="s">
        <v>896</v>
      </c>
      <c r="E660" s="1277"/>
      <c r="F660" s="1277"/>
      <c r="H660" s="181"/>
      <c r="I660" s="181"/>
      <c r="J660" s="181"/>
      <c r="K660" s="181"/>
    </row>
    <row r="661" spans="1:11">
      <c r="A661" s="175"/>
      <c r="B661" s="175"/>
      <c r="C661" s="175"/>
      <c r="D661" s="1277" t="s">
        <v>906</v>
      </c>
      <c r="E661" s="1277"/>
      <c r="F661" s="1277"/>
      <c r="H661" s="181"/>
      <c r="I661" s="181"/>
      <c r="J661" s="181"/>
      <c r="K661" s="181"/>
    </row>
    <row r="662" spans="1:11">
      <c r="A662" s="175"/>
      <c r="B662" s="175"/>
      <c r="C662" s="175"/>
      <c r="D662" s="3"/>
      <c r="E662" s="1276" t="s">
        <v>1121</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6" t="s">
        <v>1122</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307</v>
      </c>
      <c r="C669" s="175"/>
      <c r="D669" s="1277" t="s">
        <v>934</v>
      </c>
      <c r="E669" s="1277"/>
      <c r="F669" s="1277"/>
      <c r="H669" s="181"/>
      <c r="I669" s="181"/>
      <c r="J669" s="181"/>
      <c r="K669" s="181"/>
    </row>
    <row r="670" spans="1:11" ht="13.5">
      <c r="A670" s="176"/>
      <c r="B670" s="176"/>
      <c r="C670" s="175"/>
      <c r="D670" s="1277" t="s">
        <v>906</v>
      </c>
      <c r="E670" s="1277"/>
      <c r="F670" s="1277"/>
      <c r="H670" s="181"/>
      <c r="I670" s="181"/>
      <c r="J670" s="181"/>
      <c r="K670" s="181"/>
    </row>
    <row r="671" spans="1:11">
      <c r="A671" s="175"/>
      <c r="B671" s="175"/>
      <c r="C671" s="175"/>
      <c r="D671" s="3"/>
      <c r="E671" s="1288" t="s">
        <v>1123</v>
      </c>
      <c r="F671" s="1288"/>
      <c r="H671" s="181"/>
      <c r="I671" s="181"/>
      <c r="J671" s="181"/>
      <c r="K671" s="181"/>
    </row>
    <row r="672" spans="1:11">
      <c r="A672" s="175"/>
      <c r="B672" s="175"/>
      <c r="C672" s="175"/>
      <c r="D672" s="2"/>
      <c r="H672" s="181"/>
      <c r="I672" s="181"/>
      <c r="J672" s="181"/>
      <c r="K672" s="181"/>
    </row>
    <row r="673" spans="1:11" ht="13.5">
      <c r="A673" s="176"/>
      <c r="B673" s="468" t="s">
        <v>307</v>
      </c>
      <c r="C673" s="175"/>
      <c r="D673" s="1266" t="s">
        <v>1133</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6" t="s">
        <v>1124</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6" t="s">
        <v>1134</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1131</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1132</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1125</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1126</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307</v>
      </c>
      <c r="C712" s="175"/>
      <c r="D712" s="1266" t="s">
        <v>1127</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307</v>
      </c>
      <c r="C717" s="175"/>
      <c r="D717" s="1266" t="s">
        <v>1260</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1128</v>
      </c>
      <c r="E724" s="1310"/>
      <c r="F724" s="1310"/>
      <c r="H724" s="181"/>
      <c r="I724" s="181"/>
      <c r="J724" s="181"/>
      <c r="K724" s="181"/>
    </row>
    <row r="725" spans="1:11">
      <c r="A725" s="175"/>
      <c r="B725" s="175"/>
      <c r="C725" s="175"/>
      <c r="D725" s="369"/>
      <c r="H725" s="181"/>
      <c r="I725" s="181"/>
      <c r="J725" s="181"/>
      <c r="K725" s="181"/>
    </row>
    <row r="726" spans="1:11">
      <c r="A726" s="1312" t="s">
        <v>1085</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1101</v>
      </c>
      <c r="E728" s="1299"/>
      <c r="F728" s="1299"/>
      <c r="G728" s="183"/>
      <c r="H728" s="181"/>
      <c r="I728" s="181"/>
      <c r="J728" s="181"/>
      <c r="K728" s="181"/>
    </row>
    <row r="729" spans="1:11">
      <c r="A729" s="175"/>
      <c r="B729" s="175"/>
      <c r="C729" s="175"/>
      <c r="D729" s="1309" t="s">
        <v>1102</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307</v>
      </c>
      <c r="D731" s="1266" t="s">
        <v>1103</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6" t="s">
        <v>1104</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307</v>
      </c>
      <c r="C743" s="273"/>
      <c r="D743" s="1306" t="s">
        <v>1105</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307</v>
      </c>
      <c r="D747" s="1266" t="s">
        <v>1106</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1107</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1108</v>
      </c>
      <c r="B754" s="1281"/>
      <c r="C754" s="1281"/>
      <c r="D754" s="1281"/>
      <c r="E754" s="1281"/>
      <c r="F754" s="1281"/>
      <c r="G754" s="1281"/>
    </row>
    <row r="755" spans="1:11">
      <c r="A755" s="175"/>
      <c r="B755" s="175"/>
      <c r="C755" s="175"/>
      <c r="D755" s="184"/>
      <c r="F755" s="35"/>
      <c r="G755" s="183"/>
    </row>
    <row r="756" spans="1:11">
      <c r="D756" s="1313" t="s">
        <v>1092</v>
      </c>
      <c r="E756" s="1313"/>
      <c r="F756" s="1313"/>
      <c r="G756" s="183"/>
    </row>
    <row r="757" spans="1:11">
      <c r="A757" s="345"/>
      <c r="B757" s="345"/>
      <c r="C757" s="345"/>
      <c r="D757" s="1296" t="s">
        <v>1109</v>
      </c>
      <c r="E757" s="1296"/>
      <c r="F757" s="1296"/>
      <c r="G757" s="183"/>
    </row>
    <row r="758" spans="1:11">
      <c r="D758" s="433"/>
      <c r="E758" s="433"/>
      <c r="F758" s="433"/>
      <c r="G758" s="183"/>
    </row>
    <row r="759" spans="1:11" ht="13.5">
      <c r="A759" s="176"/>
      <c r="B759" s="468" t="s">
        <v>307</v>
      </c>
      <c r="D759" s="1296" t="s">
        <v>1002</v>
      </c>
      <c r="E759" s="1296"/>
      <c r="F759" s="1296"/>
      <c r="G759" s="183"/>
    </row>
    <row r="760" spans="1:11">
      <c r="D760" s="433"/>
      <c r="E760" s="1308" t="s">
        <v>1093</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1001</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3.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883</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2" t="s">
        <v>2354</v>
      </c>
      <c r="B73" s="1272"/>
      <c r="C73" s="1272"/>
      <c r="D73" s="1272"/>
      <c r="E73" s="1272"/>
    </row>
    <row r="74" spans="1:9">
      <c r="A74" s="1272" t="s">
        <v>2355</v>
      </c>
      <c r="B74" s="1272"/>
      <c r="C74" s="1272"/>
      <c r="D74" s="1272"/>
      <c r="E74" s="1272"/>
    </row>
    <row r="75" spans="1:9">
      <c r="A75" s="1272" t="s">
        <v>2057</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2576</v>
      </c>
      <c r="B2" s="1349"/>
      <c r="C2" s="1349"/>
      <c r="D2" s="1349"/>
      <c r="E2" s="1349"/>
      <c r="F2" s="1349"/>
      <c r="G2" s="1349"/>
      <c r="H2" s="1349"/>
      <c r="I2" s="1349"/>
    </row>
    <row r="3" spans="1:13">
      <c r="A3" s="1337" t="s">
        <v>2622</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2621</v>
      </c>
      <c r="B6" s="1340"/>
      <c r="C6" s="1340"/>
      <c r="D6" s="1340"/>
      <c r="E6" s="1340"/>
      <c r="F6" s="1340"/>
      <c r="G6" s="1340"/>
      <c r="I6" s="524" t="s">
        <v>2066</v>
      </c>
    </row>
    <row r="7" spans="1:13">
      <c r="A7" s="1340"/>
      <c r="B7" s="1340"/>
      <c r="C7" s="1340"/>
      <c r="D7" s="1340"/>
      <c r="E7" s="1340"/>
      <c r="F7" s="1340"/>
      <c r="G7" s="1340"/>
      <c r="I7" s="524" t="s">
        <v>2067</v>
      </c>
    </row>
    <row r="8" spans="1:13">
      <c r="A8" s="515"/>
      <c r="B8" s="515"/>
      <c r="C8" s="516"/>
      <c r="D8" s="516"/>
      <c r="E8" s="516"/>
      <c r="F8" s="516"/>
    </row>
    <row r="9" spans="1:13">
      <c r="A9" s="1281" t="s">
        <v>1165</v>
      </c>
      <c r="B9" s="1281"/>
      <c r="C9" s="1281"/>
      <c r="D9" s="1281"/>
      <c r="E9" s="1281"/>
      <c r="F9" s="1281"/>
      <c r="G9" s="1281"/>
      <c r="H9" s="1063"/>
      <c r="I9" s="1064"/>
    </row>
    <row r="10" spans="1:13">
      <c r="A10" s="516"/>
      <c r="B10" s="516"/>
      <c r="E10" s="435"/>
    </row>
    <row r="11" spans="1:13" ht="13.75" customHeight="1">
      <c r="C11" s="516"/>
      <c r="D11" s="1339" t="s">
        <v>1164</v>
      </c>
      <c r="E11" s="1339"/>
      <c r="F11" s="1339"/>
    </row>
    <row r="12" spans="1:13">
      <c r="C12" s="516"/>
      <c r="D12" s="1339"/>
      <c r="E12" s="1339"/>
      <c r="F12" s="1339"/>
    </row>
    <row r="13" spans="1:13">
      <c r="A13" s="517"/>
      <c r="B13" s="517"/>
      <c r="C13" s="517"/>
      <c r="D13" s="1294" t="s">
        <v>1147</v>
      </c>
      <c r="E13" s="1294"/>
      <c r="F13" s="1294"/>
      <c r="M13" s="96"/>
    </row>
    <row r="14" spans="1:13">
      <c r="A14" s="517"/>
      <c r="B14" s="517"/>
      <c r="C14" s="517"/>
      <c r="D14" s="510"/>
      <c r="L14" s="336"/>
    </row>
    <row r="15" spans="1:13" ht="13.5">
      <c r="A15" s="518"/>
      <c r="B15" s="519" t="s">
        <v>2638</v>
      </c>
      <c r="C15" s="517"/>
      <c r="D15" s="1293" t="s">
        <v>2217</v>
      </c>
      <c r="E15" s="1293"/>
      <c r="F15" s="1293"/>
      <c r="I15" s="524" t="s">
        <v>2068</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2215</v>
      </c>
      <c r="F18" s="479"/>
      <c r="I18" s="524"/>
    </row>
    <row r="19" spans="1:9">
      <c r="A19" s="517"/>
      <c r="B19" s="517"/>
      <c r="C19" s="517"/>
      <c r="I19" s="524"/>
    </row>
    <row r="20" spans="1:9" ht="13.5">
      <c r="A20" s="518"/>
      <c r="B20" s="519" t="s">
        <v>2638</v>
      </c>
      <c r="D20" s="1293" t="s">
        <v>2218</v>
      </c>
      <c r="E20" s="1293"/>
      <c r="F20" s="1293"/>
      <c r="I20" s="524" t="s">
        <v>2069</v>
      </c>
    </row>
    <row r="21" spans="1:9" ht="13.5">
      <c r="A21" s="518"/>
      <c r="D21" s="1293"/>
      <c r="E21" s="1293"/>
      <c r="F21" s="1293"/>
      <c r="I21" s="524"/>
    </row>
    <row r="22" spans="1:9" ht="13.5">
      <c r="A22" s="518"/>
      <c r="D22" s="423"/>
      <c r="E22" s="96" t="s">
        <v>2214</v>
      </c>
      <c r="F22" s="423"/>
      <c r="I22" s="524"/>
    </row>
    <row r="23" spans="1:9" ht="13.5">
      <c r="A23" s="518"/>
      <c r="B23" s="518"/>
      <c r="D23" s="480"/>
      <c r="I23" s="524"/>
    </row>
    <row r="24" spans="1:9" ht="13.5">
      <c r="A24" s="518"/>
      <c r="B24" s="519" t="s">
        <v>2639</v>
      </c>
      <c r="D24" s="1293" t="s">
        <v>1150</v>
      </c>
      <c r="E24" s="1293"/>
      <c r="F24" s="1293"/>
      <c r="I24" s="524" t="s">
        <v>2069</v>
      </c>
    </row>
    <row r="25" spans="1:9" ht="13.5">
      <c r="A25" s="518"/>
      <c r="B25" s="518"/>
      <c r="D25" s="1293"/>
      <c r="E25" s="1293"/>
      <c r="F25" s="1293"/>
      <c r="I25" s="524"/>
    </row>
    <row r="26" spans="1:9">
      <c r="I26" s="524"/>
    </row>
    <row r="27" spans="1:9" ht="13.5">
      <c r="A27" s="518"/>
      <c r="B27" s="519" t="s">
        <v>2638</v>
      </c>
      <c r="D27" s="1293" t="s">
        <v>2357</v>
      </c>
      <c r="E27" s="1293"/>
      <c r="F27" s="1293"/>
      <c r="I27" s="524" t="s">
        <v>2072</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2638</v>
      </c>
      <c r="D33" s="1293" t="s">
        <v>2358</v>
      </c>
      <c r="E33" s="1293"/>
      <c r="F33" s="1293"/>
      <c r="I33" s="524" t="s">
        <v>2068</v>
      </c>
    </row>
    <row r="34" spans="1:9">
      <c r="D34" s="1293"/>
      <c r="E34" s="1293"/>
      <c r="F34" s="1293"/>
      <c r="I34" s="524"/>
    </row>
    <row r="35" spans="1:9" ht="13.5">
      <c r="A35" s="518"/>
      <c r="B35" s="518"/>
      <c r="D35" s="481"/>
      <c r="I35" s="524"/>
    </row>
    <row r="36" spans="1:9" ht="14.5" customHeight="1">
      <c r="A36" s="518"/>
      <c r="B36" s="519" t="s">
        <v>2639</v>
      </c>
      <c r="D36" s="1293" t="s">
        <v>1317</v>
      </c>
      <c r="E36" s="1293"/>
      <c r="F36" s="1293"/>
      <c r="I36" s="524" t="s">
        <v>2139</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2638</v>
      </c>
      <c r="D41" s="1293" t="s">
        <v>1154</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2639</v>
      </c>
      <c r="D47" s="1293" t="s">
        <v>1155</v>
      </c>
      <c r="E47" s="1293"/>
      <c r="F47" s="1293"/>
      <c r="I47" s="524" t="s">
        <v>2139</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2639</v>
      </c>
      <c r="D52" s="1293" t="s">
        <v>1156</v>
      </c>
      <c r="E52" s="1293"/>
      <c r="F52" s="1293"/>
      <c r="I52" s="524" t="s">
        <v>2139</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2638</v>
      </c>
      <c r="D56" s="1342" t="s">
        <v>1157</v>
      </c>
      <c r="E56" s="1342"/>
      <c r="F56" s="1342"/>
      <c r="I56" s="524"/>
    </row>
    <row r="57" spans="1:9" ht="13.5">
      <c r="A57" s="518"/>
      <c r="B57" s="518"/>
      <c r="D57" s="1342"/>
      <c r="E57" s="1342"/>
      <c r="F57" s="1342"/>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93" t="s">
        <v>1158</v>
      </c>
      <c r="E61" s="1293"/>
      <c r="F61" s="1293"/>
      <c r="I61" s="524" t="s">
        <v>2070</v>
      </c>
    </row>
    <row r="62" spans="1:9">
      <c r="D62" s="1293"/>
      <c r="E62" s="1293"/>
      <c r="F62" s="1293"/>
      <c r="I62" s="524"/>
    </row>
    <row r="63" spans="1:9">
      <c r="D63" s="1293"/>
      <c r="E63" s="1293"/>
      <c r="F63" s="1293"/>
      <c r="I63" s="524"/>
    </row>
    <row r="64" spans="1:9">
      <c r="I64" s="524"/>
    </row>
    <row r="65" spans="1:9" ht="13.5">
      <c r="A65" s="518"/>
      <c r="B65" s="519" t="s">
        <v>2639</v>
      </c>
      <c r="D65" s="1293" t="s">
        <v>1159</v>
      </c>
      <c r="E65" s="1293"/>
      <c r="F65" s="1293"/>
      <c r="I65" s="524" t="s">
        <v>2071</v>
      </c>
    </row>
    <row r="66" spans="1:9">
      <c r="D66" s="1293"/>
      <c r="E66" s="1293"/>
      <c r="F66" s="1293"/>
      <c r="I66" s="524"/>
    </row>
    <row r="67" spans="1:9">
      <c r="I67" s="524"/>
    </row>
    <row r="68" spans="1:9" ht="13.5">
      <c r="A68" s="518"/>
      <c r="B68" s="519" t="s">
        <v>2638</v>
      </c>
      <c r="D68" s="1293" t="s">
        <v>1160</v>
      </c>
      <c r="E68" s="1293"/>
      <c r="F68" s="1293"/>
      <c r="I68" s="524"/>
    </row>
    <row r="69" spans="1:9">
      <c r="D69" s="1293"/>
      <c r="E69" s="1293"/>
      <c r="F69" s="1293"/>
      <c r="I69" s="524" t="s">
        <v>2072</v>
      </c>
    </row>
    <row r="70" spans="1:9">
      <c r="D70" s="1293"/>
      <c r="E70" s="1293"/>
      <c r="F70" s="1293"/>
      <c r="I70" s="524"/>
    </row>
    <row r="71" spans="1:9">
      <c r="I71" s="524"/>
    </row>
    <row r="72" spans="1:9" ht="13.5">
      <c r="A72" s="518"/>
      <c r="B72" s="519" t="s">
        <v>2639</v>
      </c>
      <c r="D72" s="1293" t="s">
        <v>1161</v>
      </c>
      <c r="E72" s="1293"/>
      <c r="F72" s="1293"/>
      <c r="I72" s="524" t="s">
        <v>2072</v>
      </c>
    </row>
    <row r="73" spans="1:9">
      <c r="D73" s="1293"/>
      <c r="E73" s="1293"/>
      <c r="F73" s="1293"/>
      <c r="I73" s="524"/>
    </row>
    <row r="74" spans="1:9" ht="13.5">
      <c r="A74" s="518"/>
      <c r="B74" s="518"/>
      <c r="D74" s="480"/>
      <c r="I74" s="524"/>
    </row>
    <row r="75" spans="1:9">
      <c r="A75" s="1281" t="s">
        <v>1068</v>
      </c>
      <c r="B75" s="1281"/>
      <c r="C75" s="1281"/>
      <c r="D75" s="1281"/>
      <c r="E75" s="1281"/>
      <c r="F75" s="1281"/>
      <c r="G75" s="1281"/>
      <c r="H75" s="1063"/>
      <c r="I75" s="1256"/>
    </row>
    <row r="76" spans="1:9">
      <c r="I76" s="524"/>
    </row>
    <row r="77" spans="1:9">
      <c r="C77" s="520"/>
      <c r="D77" s="1295" t="s">
        <v>1166</v>
      </c>
      <c r="E77" s="1295"/>
      <c r="F77" s="1295"/>
      <c r="I77" s="524"/>
    </row>
    <row r="78" spans="1:9">
      <c r="A78" s="480"/>
      <c r="B78" s="480"/>
      <c r="D78" s="1293" t="s">
        <v>1193</v>
      </c>
      <c r="E78" s="1293"/>
      <c r="F78" s="1293"/>
      <c r="I78" s="524"/>
    </row>
    <row r="79" spans="1:9">
      <c r="A79" s="480"/>
      <c r="B79" s="480"/>
      <c r="I79" s="524"/>
    </row>
    <row r="80" spans="1:9" ht="13.75" customHeight="1">
      <c r="A80" s="518"/>
      <c r="B80" s="519" t="s">
        <v>2638</v>
      </c>
      <c r="D80" s="1293" t="s">
        <v>1350</v>
      </c>
      <c r="E80" s="1293"/>
      <c r="F80" s="1293"/>
      <c r="I80" s="524" t="s">
        <v>2073</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2638</v>
      </c>
      <c r="D89" s="1293" t="s">
        <v>1927</v>
      </c>
      <c r="E89" s="1293"/>
      <c r="F89" s="1293"/>
      <c r="I89" s="524" t="s">
        <v>2074</v>
      </c>
    </row>
    <row r="90" spans="1:9" ht="13.5">
      <c r="A90" s="518"/>
      <c r="B90" s="518"/>
      <c r="D90" s="1293"/>
      <c r="E90" s="1293"/>
      <c r="F90" s="1293"/>
      <c r="I90" s="524"/>
    </row>
    <row r="91" spans="1:9" ht="13.5">
      <c r="A91" s="518"/>
      <c r="B91" s="518"/>
      <c r="D91" s="479"/>
      <c r="E91" s="479"/>
      <c r="F91" s="479"/>
      <c r="I91" s="524"/>
    </row>
    <row r="92" spans="1:9" ht="13.5">
      <c r="A92" s="518"/>
      <c r="B92" s="519" t="s">
        <v>2638</v>
      </c>
      <c r="D92" s="1293" t="s">
        <v>1930</v>
      </c>
      <c r="E92" s="1293"/>
      <c r="F92" s="1293"/>
      <c r="I92" s="524" t="s">
        <v>2075</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2638</v>
      </c>
      <c r="D96" s="1293" t="s">
        <v>1929</v>
      </c>
      <c r="E96" s="1293"/>
      <c r="F96" s="1293"/>
      <c r="I96" s="524" t="s">
        <v>2120</v>
      </c>
    </row>
    <row r="97" spans="1:9" s="1022" customFormat="1" ht="13.5">
      <c r="A97" s="1020"/>
      <c r="B97" s="1020"/>
      <c r="C97" s="1021"/>
      <c r="D97" s="1293"/>
      <c r="E97" s="1293"/>
      <c r="F97" s="1293"/>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93" t="s">
        <v>1928</v>
      </c>
      <c r="E100" s="1293"/>
      <c r="F100" s="1293"/>
      <c r="I100" s="524" t="s">
        <v>2076</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2639</v>
      </c>
      <c r="D103" s="1293" t="s">
        <v>1297</v>
      </c>
      <c r="E103" s="1293"/>
      <c r="F103" s="1293"/>
      <c r="I103" s="524" t="s">
        <v>2077</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2639</v>
      </c>
      <c r="D119" s="1304" t="s">
        <v>1168</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2638</v>
      </c>
      <c r="C128" s="433"/>
      <c r="D128" s="1304" t="s">
        <v>2359</v>
      </c>
      <c r="E128" s="1304"/>
      <c r="F128" s="1304"/>
      <c r="I128" s="524" t="s">
        <v>2078</v>
      </c>
    </row>
    <row r="129" spans="1:9" ht="13.5">
      <c r="A129" s="518"/>
      <c r="B129" s="518"/>
      <c r="C129" s="433"/>
      <c r="D129" s="1304"/>
      <c r="E129" s="1304"/>
      <c r="F129" s="1304"/>
      <c r="I129" s="524"/>
    </row>
    <row r="130" spans="1:9">
      <c r="I130" s="524"/>
    </row>
    <row r="131" spans="1:9" ht="13.5">
      <c r="A131" s="518"/>
      <c r="B131" s="519" t="s">
        <v>2639</v>
      </c>
      <c r="D131" s="1293" t="s">
        <v>1171</v>
      </c>
      <c r="E131" s="1293"/>
      <c r="F131" s="1293"/>
      <c r="I131" s="524" t="s">
        <v>2078</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2638</v>
      </c>
      <c r="D137" s="1293" t="s">
        <v>1172</v>
      </c>
      <c r="E137" s="1293"/>
      <c r="F137" s="1293"/>
      <c r="I137" s="524" t="s">
        <v>2079</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2639</v>
      </c>
      <c r="D151" s="1293" t="s">
        <v>1280</v>
      </c>
      <c r="E151" s="1293"/>
      <c r="F151" s="1293"/>
      <c r="I151" s="524" t="s">
        <v>2080</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2383</v>
      </c>
      <c r="E169" s="1338"/>
      <c r="F169" s="1338"/>
      <c r="G169" s="541"/>
      <c r="I169" s="524"/>
    </row>
    <row r="170" spans="1:9" ht="13.75" customHeight="1">
      <c r="D170" s="1279"/>
      <c r="E170" s="1279"/>
      <c r="F170" s="1279"/>
      <c r="G170" s="1279"/>
      <c r="I170" s="524"/>
    </row>
    <row r="171" spans="1:9" ht="14.5" customHeight="1">
      <c r="A171" s="523"/>
      <c r="B171" s="519" t="s">
        <v>2639</v>
      </c>
      <c r="C171" s="510"/>
      <c r="D171" s="1275" t="s">
        <v>2571</v>
      </c>
      <c r="E171" s="1275"/>
      <c r="F171" s="1275"/>
      <c r="G171" s="510"/>
      <c r="I171" s="524" t="s">
        <v>2075</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2638</v>
      </c>
      <c r="C177" s="510"/>
      <c r="D177" s="1275" t="s">
        <v>1174</v>
      </c>
      <c r="E177" s="1275"/>
      <c r="F177" s="1275"/>
      <c r="G177" s="510"/>
      <c r="I177" s="524" t="s">
        <v>2081</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2639</v>
      </c>
      <c r="D182" s="1280" t="s">
        <v>2360</v>
      </c>
      <c r="E182" s="1280"/>
      <c r="F182" s="1280"/>
      <c r="I182" s="524" t="s">
        <v>2082</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2361</v>
      </c>
      <c r="B186" s="1281"/>
      <c r="C186" s="1281"/>
      <c r="D186" s="1281"/>
      <c r="E186" s="1281"/>
      <c r="F186" s="1281"/>
      <c r="G186" s="1281"/>
      <c r="H186" s="1063"/>
      <c r="I186" s="1256"/>
    </row>
    <row r="187" spans="1:9" ht="12.05" customHeight="1">
      <c r="D187" s="480"/>
      <c r="E187" s="480"/>
      <c r="F187" s="480"/>
      <c r="I187" s="524"/>
    </row>
    <row r="188" spans="1:9">
      <c r="B188" s="1296" t="s">
        <v>447</v>
      </c>
      <c r="C188" s="1296"/>
      <c r="D188" s="1296"/>
      <c r="E188" s="1296"/>
      <c r="F188" s="1296"/>
      <c r="I188" s="524"/>
    </row>
    <row r="189" spans="1:9">
      <c r="B189" s="423" t="s">
        <v>2061</v>
      </c>
      <c r="C189" s="423"/>
      <c r="D189" s="423"/>
      <c r="E189" s="423"/>
      <c r="F189" s="423"/>
      <c r="I189" s="524"/>
    </row>
    <row r="190" spans="1:9" ht="12.05" customHeight="1">
      <c r="A190" s="516"/>
      <c r="B190" s="516"/>
      <c r="C190" s="516"/>
      <c r="I190" s="524"/>
    </row>
    <row r="191" spans="1:9">
      <c r="A191" s="1281" t="s">
        <v>1070</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1931</v>
      </c>
      <c r="E193" s="1295"/>
      <c r="F193" s="1295"/>
      <c r="I193" s="524"/>
    </row>
    <row r="194" spans="1:9">
      <c r="A194" s="435"/>
      <c r="B194" s="435"/>
      <c r="D194" s="1295"/>
      <c r="E194" s="1295"/>
      <c r="F194" s="1295"/>
      <c r="I194" s="524"/>
    </row>
    <row r="195" spans="1:9">
      <c r="A195" s="435"/>
      <c r="B195" s="435"/>
      <c r="D195" s="1296" t="s">
        <v>1298</v>
      </c>
      <c r="E195" s="1296"/>
      <c r="F195" s="1296"/>
      <c r="I195" s="524"/>
    </row>
    <row r="196" spans="1:9">
      <c r="A196" s="435"/>
      <c r="B196" s="435"/>
      <c r="D196" s="423"/>
      <c r="E196" s="423"/>
      <c r="F196" s="423"/>
      <c r="I196" s="524"/>
    </row>
    <row r="197" spans="1:9">
      <c r="A197" s="435"/>
      <c r="B197" s="519" t="s">
        <v>2639</v>
      </c>
      <c r="D197" s="1277" t="s">
        <v>1932</v>
      </c>
      <c r="E197" s="1277"/>
      <c r="F197" s="1277"/>
      <c r="I197" s="524" t="s">
        <v>2131</v>
      </c>
    </row>
    <row r="198" spans="1:9">
      <c r="A198" s="435"/>
      <c r="B198" s="435"/>
      <c r="D198" s="1309" t="s">
        <v>2197</v>
      </c>
      <c r="E198" s="1309"/>
      <c r="F198" s="1309"/>
      <c r="I198" s="524"/>
    </row>
    <row r="199" spans="1:9">
      <c r="A199" s="435"/>
      <c r="B199" s="435"/>
      <c r="D199" s="96" t="s">
        <v>1933</v>
      </c>
      <c r="E199" s="1341" t="s">
        <v>2220</v>
      </c>
      <c r="F199" s="1341"/>
      <c r="I199" s="524"/>
    </row>
    <row r="200" spans="1:9">
      <c r="A200" s="435"/>
      <c r="B200" s="435"/>
      <c r="D200" s="3"/>
      <c r="E200" s="3"/>
      <c r="F200" s="3"/>
      <c r="I200" s="524"/>
    </row>
    <row r="201" spans="1:9">
      <c r="A201" s="435"/>
      <c r="B201" s="519" t="s">
        <v>2639</v>
      </c>
      <c r="D201" s="1309" t="s">
        <v>1934</v>
      </c>
      <c r="E201" s="1309"/>
      <c r="F201" s="1309"/>
      <c r="I201" s="524" t="s">
        <v>2132</v>
      </c>
    </row>
    <row r="202" spans="1:9">
      <c r="A202" s="435"/>
      <c r="B202" s="435"/>
      <c r="D202" s="1277" t="s">
        <v>2197</v>
      </c>
      <c r="E202" s="1277"/>
      <c r="F202" s="1277"/>
      <c r="I202" s="524"/>
    </row>
    <row r="203" spans="1:9">
      <c r="A203" s="435"/>
      <c r="B203" s="435"/>
      <c r="D203" s="57" t="s">
        <v>1935</v>
      </c>
      <c r="E203" s="1341" t="s">
        <v>2221</v>
      </c>
      <c r="F203" s="1341"/>
      <c r="I203" s="524"/>
    </row>
    <row r="204" spans="1:9">
      <c r="A204" s="435"/>
      <c r="B204" s="435"/>
      <c r="D204" s="3"/>
      <c r="E204" s="3"/>
      <c r="F204" s="3"/>
      <c r="I204" s="524"/>
    </row>
    <row r="205" spans="1:9">
      <c r="A205" s="435"/>
      <c r="B205" s="519" t="s">
        <v>2639</v>
      </c>
      <c r="D205" s="1309" t="s">
        <v>1936</v>
      </c>
      <c r="E205" s="1309"/>
      <c r="F205" s="1309"/>
      <c r="I205" s="524" t="s">
        <v>2133</v>
      </c>
    </row>
    <row r="206" spans="1:9">
      <c r="A206" s="435"/>
      <c r="B206" s="435"/>
      <c r="D206" s="1277" t="s">
        <v>2197</v>
      </c>
      <c r="E206" s="1277"/>
      <c r="F206" s="1277"/>
      <c r="I206" s="524"/>
    </row>
    <row r="207" spans="1:9">
      <c r="A207" s="435"/>
      <c r="B207" s="435"/>
      <c r="D207" s="57" t="s">
        <v>1933</v>
      </c>
      <c r="E207" s="1341" t="s">
        <v>2222</v>
      </c>
      <c r="F207" s="1341"/>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77" t="s">
        <v>2197</v>
      </c>
      <c r="E210" s="1277"/>
      <c r="F210" s="1277"/>
      <c r="I210" s="524"/>
    </row>
    <row r="211" spans="1:9">
      <c r="D211" s="416"/>
      <c r="E211" s="1341" t="s">
        <v>2223</v>
      </c>
      <c r="F211" s="1341"/>
      <c r="I211" s="524"/>
    </row>
    <row r="212" spans="1:9">
      <c r="D212" s="481"/>
      <c r="I212" s="524"/>
    </row>
    <row r="213" spans="1:9">
      <c r="B213" s="519" t="s">
        <v>2639</v>
      </c>
      <c r="D213" s="1309" t="s">
        <v>1937</v>
      </c>
      <c r="E213" s="1309"/>
      <c r="F213" s="1309"/>
      <c r="I213" s="524" t="s">
        <v>2135</v>
      </c>
    </row>
    <row r="214" spans="1:9">
      <c r="D214" s="1277" t="s">
        <v>2197</v>
      </c>
      <c r="E214" s="1277"/>
      <c r="F214" s="1277"/>
      <c r="I214" s="524"/>
    </row>
    <row r="215" spans="1:9">
      <c r="D215" s="57" t="s">
        <v>1933</v>
      </c>
      <c r="E215" s="1341" t="s">
        <v>2224</v>
      </c>
      <c r="F215" s="1341"/>
      <c r="I215" s="524"/>
    </row>
    <row r="216" spans="1:9">
      <c r="D216" s="485"/>
      <c r="E216" s="485"/>
      <c r="F216" s="485"/>
      <c r="I216" s="524"/>
    </row>
    <row r="217" spans="1:9" ht="13.5">
      <c r="A217" s="518"/>
      <c r="B217" s="519" t="s">
        <v>2639</v>
      </c>
      <c r="D217" s="1293" t="s">
        <v>1319</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1071</v>
      </c>
      <c r="B222" s="1281"/>
      <c r="C222" s="1281"/>
      <c r="D222" s="1281"/>
      <c r="E222" s="1281"/>
      <c r="F222" s="1281"/>
      <c r="G222" s="1281"/>
      <c r="H222" s="1063"/>
      <c r="I222" s="1256"/>
    </row>
    <row r="223" spans="1:9" ht="12.05" customHeight="1">
      <c r="D223" s="480"/>
      <c r="E223" s="480"/>
      <c r="F223" s="480"/>
      <c r="I223" s="524"/>
    </row>
    <row r="224" spans="1:9">
      <c r="C224" s="520"/>
      <c r="D224" s="1292" t="s">
        <v>208</v>
      </c>
      <c r="E224" s="1292"/>
      <c r="F224" s="1292"/>
      <c r="I224" s="524"/>
    </row>
    <row r="225" spans="1:9">
      <c r="A225" s="516"/>
      <c r="B225" s="516"/>
      <c r="C225" s="516"/>
      <c r="D225" s="1294" t="s">
        <v>1200</v>
      </c>
      <c r="E225" s="1294"/>
      <c r="F225" s="1294"/>
      <c r="I225" s="524"/>
    </row>
    <row r="226" spans="1:9" ht="12.05" customHeight="1">
      <c r="A226" s="524"/>
      <c r="B226" s="524"/>
      <c r="C226" s="524"/>
      <c r="I226" s="524"/>
    </row>
    <row r="227" spans="1:9" ht="13.75" customHeight="1">
      <c r="A227" s="524"/>
      <c r="C227" s="524"/>
      <c r="D227" s="1292" t="s">
        <v>553</v>
      </c>
      <c r="E227" s="1292"/>
      <c r="F227" s="1292"/>
      <c r="I227" s="524" t="s">
        <v>2083</v>
      </c>
    </row>
    <row r="228" spans="1:9" ht="13.5">
      <c r="A228" s="518"/>
      <c r="B228" s="519" t="s">
        <v>2638</v>
      </c>
      <c r="D228" s="1293" t="s">
        <v>1938</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2638</v>
      </c>
      <c r="D233" s="1293" t="s">
        <v>1939</v>
      </c>
      <c r="E233" s="1293"/>
      <c r="F233" s="1293"/>
      <c r="I233" s="524" t="s">
        <v>2084</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1196</v>
      </c>
      <c r="E239" s="1293"/>
      <c r="F239" s="1293"/>
      <c r="I239" s="524" t="s">
        <v>2083</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2639</v>
      </c>
      <c r="D245" s="1293" t="s">
        <v>2362</v>
      </c>
      <c r="E245" s="1293"/>
      <c r="F245" s="1293"/>
      <c r="I245" s="524" t="s">
        <v>2122</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93" t="s">
        <v>2363</v>
      </c>
      <c r="E250" s="1293"/>
      <c r="F250" s="1293"/>
      <c r="I250" s="524" t="s">
        <v>2140</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93" t="s">
        <v>1198</v>
      </c>
      <c r="E259" s="1293"/>
      <c r="F259" s="1293"/>
      <c r="I259" s="524"/>
    </row>
    <row r="260" spans="1:9" ht="13.5">
      <c r="A260" s="518"/>
      <c r="B260" s="518"/>
      <c r="D260" s="1293"/>
      <c r="E260" s="1293"/>
      <c r="F260" s="1293"/>
      <c r="I260" s="524"/>
    </row>
    <row r="261" spans="1:9">
      <c r="D261" s="525"/>
      <c r="I261" s="524"/>
    </row>
    <row r="262" spans="1:9">
      <c r="A262" s="1281" t="s">
        <v>1072</v>
      </c>
      <c r="B262" s="1281"/>
      <c r="C262" s="1281"/>
      <c r="D262" s="1281"/>
      <c r="E262" s="1281"/>
      <c r="F262" s="1281"/>
      <c r="G262" s="1281"/>
      <c r="H262" s="1063"/>
      <c r="I262" s="1256"/>
    </row>
    <row r="263" spans="1:9">
      <c r="D263" s="525"/>
      <c r="I263" s="524"/>
    </row>
    <row r="264" spans="1:9">
      <c r="C264" s="520"/>
      <c r="D264" s="1292" t="s">
        <v>1201</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2123</v>
      </c>
    </row>
    <row r="267" spans="1:9" ht="14.5" customHeight="1">
      <c r="A267" s="518"/>
      <c r="B267" s="519" t="s">
        <v>2638</v>
      </c>
      <c r="D267" s="1293" t="s">
        <v>1299</v>
      </c>
      <c r="E267" s="1293"/>
      <c r="F267" s="1293"/>
      <c r="I267" s="524"/>
    </row>
    <row r="268" spans="1:9">
      <c r="D268" s="1293"/>
      <c r="E268" s="1293"/>
      <c r="F268" s="1293"/>
      <c r="I268" s="524"/>
    </row>
    <row r="269" spans="1:9">
      <c r="E269" s="1071" t="s">
        <v>2193</v>
      </c>
      <c r="I269" s="524"/>
    </row>
    <row r="270" spans="1:9">
      <c r="D270" s="480"/>
      <c r="E270" s="480"/>
      <c r="F270" s="480"/>
      <c r="I270" s="524"/>
    </row>
    <row r="271" spans="1:9" ht="14.5" customHeight="1">
      <c r="A271" s="518"/>
      <c r="B271" s="519" t="s">
        <v>2639</v>
      </c>
      <c r="D271" s="1293" t="s">
        <v>2365</v>
      </c>
      <c r="E271" s="1293"/>
      <c r="F271" s="1293"/>
      <c r="I271" s="524" t="s">
        <v>2141</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2639</v>
      </c>
      <c r="D278" s="1293" t="s">
        <v>1204</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1073</v>
      </c>
      <c r="B282" s="1281"/>
      <c r="C282" s="1281"/>
      <c r="D282" s="1281"/>
      <c r="E282" s="1281"/>
      <c r="F282" s="1281"/>
      <c r="G282" s="1281"/>
      <c r="H282" s="1063"/>
      <c r="I282" s="1256"/>
    </row>
    <row r="283" spans="1:9">
      <c r="D283" s="526"/>
      <c r="E283" s="480"/>
      <c r="F283" s="480"/>
      <c r="I283" s="524"/>
    </row>
    <row r="284" spans="1:9">
      <c r="C284" s="516"/>
      <c r="D284" s="1295" t="s">
        <v>1206</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8" customHeight="1">
      <c r="A288" s="518"/>
      <c r="B288" s="518"/>
      <c r="D288" s="1344" t="s">
        <v>1207</v>
      </c>
      <c r="E288" s="1344"/>
      <c r="F288" s="1344"/>
      <c r="I288" s="524"/>
    </row>
    <row r="289" spans="1:9">
      <c r="E289" s="480"/>
      <c r="F289" s="480"/>
      <c r="I289" s="524"/>
    </row>
    <row r="290" spans="1:9" ht="13.5">
      <c r="A290" s="518"/>
      <c r="B290" s="519" t="s">
        <v>2639</v>
      </c>
      <c r="D290" s="1293" t="s">
        <v>1208</v>
      </c>
      <c r="E290" s="1293"/>
      <c r="F290" s="1293"/>
      <c r="I290" s="524" t="s">
        <v>2085</v>
      </c>
    </row>
    <row r="291" spans="1:9" ht="13.5">
      <c r="A291" s="518"/>
      <c r="B291" s="518"/>
      <c r="D291" s="1293"/>
      <c r="E291" s="1293"/>
      <c r="F291" s="1293"/>
      <c r="I291" s="524"/>
    </row>
    <row r="292" spans="1:9">
      <c r="D292" s="480"/>
      <c r="E292" s="480"/>
      <c r="F292" s="480"/>
      <c r="I292" s="524"/>
    </row>
    <row r="293" spans="1:9" ht="13.5">
      <c r="A293" s="518"/>
      <c r="B293" s="519" t="s">
        <v>2639</v>
      </c>
      <c r="D293" s="1293" t="s">
        <v>1209</v>
      </c>
      <c r="E293" s="1293"/>
      <c r="F293" s="1293"/>
      <c r="I293" s="524" t="s">
        <v>2085</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2639</v>
      </c>
      <c r="D297" s="1293" t="s">
        <v>1210</v>
      </c>
      <c r="E297" s="1293"/>
      <c r="F297" s="1293"/>
      <c r="I297" s="524" t="s">
        <v>2085</v>
      </c>
    </row>
    <row r="298" spans="1:9" ht="13.5">
      <c r="A298" s="518"/>
      <c r="B298" s="518"/>
      <c r="D298" s="1293"/>
      <c r="E298" s="1293"/>
      <c r="F298" s="1293"/>
      <c r="I298" s="524"/>
    </row>
    <row r="299" spans="1:9">
      <c r="A299" s="524"/>
      <c r="B299" s="524"/>
      <c r="E299" s="480"/>
      <c r="F299" s="480"/>
      <c r="I299" s="524"/>
    </row>
    <row r="300" spans="1:9">
      <c r="A300" s="1281" t="s">
        <v>1074</v>
      </c>
      <c r="B300" s="1281"/>
      <c r="C300" s="1281"/>
      <c r="D300" s="1281"/>
      <c r="E300" s="1281"/>
      <c r="F300" s="1281"/>
      <c r="G300" s="1281"/>
      <c r="H300" s="1063"/>
      <c r="I300" s="1256"/>
    </row>
    <row r="301" spans="1:9">
      <c r="A301" s="524"/>
      <c r="B301" s="524"/>
      <c r="D301" s="480"/>
      <c r="E301" s="480"/>
      <c r="F301" s="480"/>
      <c r="I301" s="524"/>
    </row>
    <row r="302" spans="1:9">
      <c r="C302" s="524"/>
      <c r="D302" s="1292" t="s">
        <v>688</v>
      </c>
      <c r="E302" s="1292"/>
      <c r="F302" s="1292"/>
      <c r="I302" s="524"/>
    </row>
    <row r="303" spans="1:9">
      <c r="C303" s="524"/>
      <c r="D303" s="1294" t="s">
        <v>1211</v>
      </c>
      <c r="E303" s="1294"/>
      <c r="F303" s="1294"/>
      <c r="I303" s="524"/>
    </row>
    <row r="304" spans="1:9">
      <c r="C304" s="524"/>
      <c r="D304" s="527"/>
      <c r="I304" s="524"/>
    </row>
    <row r="305" spans="1:9">
      <c r="B305" s="519" t="s">
        <v>2639</v>
      </c>
      <c r="D305" s="1294" t="s">
        <v>1212</v>
      </c>
      <c r="E305" s="1294"/>
      <c r="F305" s="1294"/>
      <c r="I305" s="524" t="s">
        <v>2086</v>
      </c>
    </row>
    <row r="306" spans="1:9" ht="13.5">
      <c r="A306" s="518"/>
      <c r="B306" s="518"/>
      <c r="D306" s="528"/>
      <c r="E306" s="529"/>
      <c r="F306" s="529"/>
      <c r="I306" s="524"/>
    </row>
    <row r="307" spans="1:9" ht="13.75" customHeight="1">
      <c r="B307" s="519" t="s">
        <v>2639</v>
      </c>
      <c r="D307" s="1347" t="s">
        <v>1322</v>
      </c>
      <c r="E307" s="1347"/>
      <c r="F307" s="1347"/>
      <c r="I307" s="524" t="s">
        <v>2086</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2639</v>
      </c>
      <c r="D313" s="1347" t="s">
        <v>1214</v>
      </c>
      <c r="E313" s="1347"/>
      <c r="F313" s="1347"/>
      <c r="I313" s="524" t="s">
        <v>2086</v>
      </c>
    </row>
    <row r="314" spans="1:9">
      <c r="D314" s="1347"/>
      <c r="E314" s="1347"/>
      <c r="F314" s="1347"/>
      <c r="I314" s="524"/>
    </row>
    <row r="315" spans="1:9" ht="13.5">
      <c r="A315" s="518"/>
      <c r="B315" s="518"/>
      <c r="D315" s="528"/>
      <c r="E315" s="529"/>
      <c r="F315" s="529"/>
      <c r="I315" s="524"/>
    </row>
    <row r="316" spans="1:9">
      <c r="B316" s="519" t="s">
        <v>2639</v>
      </c>
      <c r="D316" s="1294" t="s">
        <v>1215</v>
      </c>
      <c r="E316" s="1294"/>
      <c r="F316" s="1294"/>
      <c r="I316" s="524" t="s">
        <v>2072</v>
      </c>
    </row>
    <row r="317" spans="1:9">
      <c r="E317" s="480"/>
      <c r="F317" s="480"/>
      <c r="I317" s="524"/>
    </row>
    <row r="318" spans="1:9" ht="13.5">
      <c r="A318" s="518"/>
      <c r="B318" s="519" t="s">
        <v>2639</v>
      </c>
      <c r="D318" s="1293" t="s">
        <v>2384</v>
      </c>
      <c r="E318" s="1293"/>
      <c r="F318" s="1293"/>
      <c r="I318" s="524" t="s">
        <v>2087</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2639</v>
      </c>
      <c r="D334" s="1293" t="s">
        <v>1217</v>
      </c>
      <c r="E334" s="1293"/>
      <c r="F334" s="1293"/>
      <c r="I334" s="524" t="s">
        <v>2087</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2639</v>
      </c>
      <c r="D344" s="1293" t="s">
        <v>2198</v>
      </c>
      <c r="E344" s="1293"/>
      <c r="F344" s="1293"/>
      <c r="I344" s="524" t="s">
        <v>2124</v>
      </c>
    </row>
    <row r="345" spans="1:9">
      <c r="D345" s="1293"/>
      <c r="E345" s="1293"/>
      <c r="F345" s="1293"/>
      <c r="I345" s="524"/>
    </row>
    <row r="346" spans="1:9">
      <c r="D346" s="1293"/>
      <c r="E346" s="1293"/>
      <c r="F346" s="1293"/>
      <c r="I346" s="524"/>
    </row>
    <row r="347" spans="1:9">
      <c r="D347" s="1293"/>
      <c r="E347" s="1293"/>
      <c r="F347" s="1293"/>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43" t="s">
        <v>995</v>
      </c>
      <c r="E351" s="1343"/>
      <c r="F351" s="1343"/>
      <c r="G351" s="1062"/>
      <c r="H351" s="1062"/>
      <c r="I351" s="1259"/>
    </row>
    <row r="352" spans="1:9" ht="12.95" thickTop="1">
      <c r="D352" s="1348" t="s">
        <v>1219</v>
      </c>
      <c r="E352" s="1348"/>
      <c r="F352" s="1348"/>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294" t="s">
        <v>2196</v>
      </c>
      <c r="E355" s="1294"/>
      <c r="F355" s="1294"/>
      <c r="I355" s="1350" t="s">
        <v>2138</v>
      </c>
    </row>
    <row r="356" spans="1:9" ht="12.7" customHeight="1">
      <c r="D356" s="1072"/>
      <c r="E356" s="96" t="s">
        <v>2195</v>
      </c>
      <c r="F356" s="1072"/>
      <c r="I356" s="1351"/>
    </row>
    <row r="357" spans="1:9">
      <c r="D357" s="1293" t="s">
        <v>1343</v>
      </c>
      <c r="E357" s="1293"/>
      <c r="F357" s="1293"/>
      <c r="I357" s="1351"/>
    </row>
    <row r="358" spans="1:9">
      <c r="D358" s="1293"/>
      <c r="E358" s="1293"/>
      <c r="F358" s="1293"/>
      <c r="I358" s="1351"/>
    </row>
    <row r="359" spans="1:9">
      <c r="D359" s="1293"/>
      <c r="E359" s="1293"/>
      <c r="F359" s="1293"/>
      <c r="I359" s="1352"/>
    </row>
    <row r="360" spans="1:9" ht="13.5">
      <c r="A360" s="518"/>
      <c r="B360" s="519" t="s">
        <v>2639</v>
      </c>
      <c r="C360" s="510"/>
      <c r="D360" s="1279" t="s">
        <v>2366</v>
      </c>
      <c r="E360" s="1279"/>
      <c r="F360" s="1279"/>
      <c r="I360" s="514"/>
    </row>
    <row r="361" spans="1:9">
      <c r="A361" s="510"/>
      <c r="B361" s="510"/>
      <c r="C361" s="510"/>
      <c r="D361" s="481"/>
      <c r="E361" s="481"/>
      <c r="F361" s="480"/>
      <c r="I361" s="524"/>
    </row>
    <row r="362" spans="1:9">
      <c r="A362" s="510"/>
      <c r="B362" s="519" t="s">
        <v>2639</v>
      </c>
      <c r="C362" s="510"/>
      <c r="D362" s="1275" t="s">
        <v>2367</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75" t="s">
        <v>1222</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1223</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1224</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2639</v>
      </c>
      <c r="C420" s="510"/>
      <c r="D420" s="1275" t="s">
        <v>1225</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2639</v>
      </c>
      <c r="D423" s="1275" t="s">
        <v>2125</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2639</v>
      </c>
      <c r="C429" s="510"/>
      <c r="D429" s="1275" t="s">
        <v>1344</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2385</v>
      </c>
      <c r="E433" s="1275"/>
      <c r="F433" s="1275"/>
      <c r="I433" s="524"/>
    </row>
    <row r="434" spans="1:9">
      <c r="D434" s="480"/>
      <c r="E434" s="480"/>
      <c r="F434" s="480"/>
      <c r="I434" s="524"/>
    </row>
    <row r="435" spans="1:9" ht="13.5">
      <c r="A435" s="518"/>
      <c r="B435" s="519" t="s">
        <v>2639</v>
      </c>
      <c r="C435" s="521"/>
      <c r="D435" s="1293" t="s">
        <v>2368</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2639</v>
      </c>
      <c r="C467" s="521"/>
      <c r="D467" s="1293" t="s">
        <v>1230</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2639</v>
      </c>
      <c r="C471" s="518"/>
      <c r="D471" s="1293" t="s">
        <v>1300</v>
      </c>
      <c r="E471" s="1293"/>
      <c r="F471" s="1293"/>
      <c r="I471" s="524"/>
    </row>
    <row r="472" spans="1:9">
      <c r="D472" s="1293"/>
      <c r="E472" s="1293"/>
      <c r="F472" s="1293"/>
      <c r="I472" s="524"/>
    </row>
    <row r="473" spans="1:9">
      <c r="D473" s="480"/>
      <c r="E473" s="480"/>
      <c r="F473" s="480"/>
      <c r="I473" s="524"/>
    </row>
    <row r="474" spans="1:9" ht="13.5">
      <c r="B474" s="519" t="s">
        <v>2639</v>
      </c>
      <c r="C474" s="518"/>
      <c r="D474" s="1293" t="s">
        <v>1232</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2639</v>
      </c>
      <c r="C486" s="433"/>
      <c r="D486" s="1293"/>
      <c r="E486" s="1293"/>
      <c r="F486" s="1293"/>
      <c r="I486" s="524"/>
    </row>
    <row r="487" spans="1:9">
      <c r="A487" s="433"/>
      <c r="C487" s="433"/>
      <c r="D487" s="1293"/>
      <c r="E487" s="1293"/>
      <c r="F487" s="1293"/>
      <c r="I487" s="524"/>
    </row>
    <row r="488" spans="1:9">
      <c r="A488" s="433"/>
      <c r="B488" s="519" t="s">
        <v>2639</v>
      </c>
      <c r="C488" s="433"/>
      <c r="D488" s="1293" t="s">
        <v>1233</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2639</v>
      </c>
      <c r="D494" s="1294" t="s">
        <v>1234</v>
      </c>
      <c r="E494" s="1294"/>
      <c r="F494" s="1294"/>
      <c r="I494" s="524"/>
    </row>
    <row r="495" spans="1:9">
      <c r="A495" s="480"/>
      <c r="B495" s="480"/>
      <c r="I495" s="524"/>
    </row>
    <row r="496" spans="1:9">
      <c r="A496" s="1281" t="s">
        <v>1075</v>
      </c>
      <c r="B496" s="1281"/>
      <c r="C496" s="1281"/>
      <c r="D496" s="1281"/>
      <c r="E496" s="1281"/>
      <c r="F496" s="1281"/>
      <c r="G496" s="1281"/>
      <c r="H496" s="1063"/>
      <c r="I496" s="1256"/>
    </row>
    <row r="497" spans="1:9">
      <c r="A497" s="480"/>
      <c r="B497" s="480"/>
      <c r="I497" s="524"/>
    </row>
    <row r="498" spans="1:9">
      <c r="D498" s="1278" t="s">
        <v>893</v>
      </c>
      <c r="E498" s="1278"/>
      <c r="F498" s="1278"/>
      <c r="I498" s="524"/>
    </row>
    <row r="499" spans="1:9" ht="13.5">
      <c r="A499" s="518"/>
      <c r="B499" s="518"/>
      <c r="D499" s="1279" t="s">
        <v>1235</v>
      </c>
      <c r="E499" s="1279"/>
      <c r="F499" s="1279"/>
      <c r="I499" s="524"/>
    </row>
    <row r="500" spans="1:9" ht="13.5">
      <c r="A500" s="518"/>
      <c r="B500" s="518"/>
      <c r="D500" s="481"/>
      <c r="I500" s="524"/>
    </row>
    <row r="501" spans="1:9" ht="13.5">
      <c r="A501" s="518"/>
      <c r="B501" s="519" t="s">
        <v>2639</v>
      </c>
      <c r="D501" s="1275" t="s">
        <v>1236</v>
      </c>
      <c r="E501" s="1275"/>
      <c r="F501" s="1275"/>
      <c r="I501" s="524" t="s">
        <v>2089</v>
      </c>
    </row>
    <row r="502" spans="1:9" ht="13.5">
      <c r="A502" s="518"/>
      <c r="B502" s="518"/>
      <c r="D502" s="1275"/>
      <c r="E502" s="1275"/>
      <c r="F502" s="1275"/>
      <c r="I502" s="524"/>
    </row>
    <row r="503" spans="1:9" ht="13.5">
      <c r="A503" s="518"/>
      <c r="B503" s="518"/>
      <c r="D503" s="480"/>
      <c r="I503" s="524"/>
    </row>
    <row r="504" spans="1:9" ht="12.7" customHeight="1">
      <c r="B504" s="519" t="s">
        <v>2639</v>
      </c>
      <c r="D504" s="1280" t="s">
        <v>1378</v>
      </c>
      <c r="E504" s="1280"/>
      <c r="F504" s="1280"/>
      <c r="I504" s="524" t="s">
        <v>2090</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2639</v>
      </c>
      <c r="D509" s="1294" t="s">
        <v>1239</v>
      </c>
      <c r="E509" s="1294"/>
      <c r="F509" s="1294"/>
      <c r="I509" s="524" t="s">
        <v>2091</v>
      </c>
    </row>
    <row r="510" spans="1:9" ht="13.5">
      <c r="A510" s="518"/>
      <c r="B510" s="518"/>
      <c r="D510" s="480"/>
      <c r="I510" s="524"/>
    </row>
    <row r="511" spans="1:9" ht="13.5">
      <c r="A511" s="518"/>
      <c r="B511" s="519" t="s">
        <v>2639</v>
      </c>
      <c r="D511" s="1293" t="s">
        <v>1240</v>
      </c>
      <c r="E511" s="1293"/>
      <c r="F511" s="1293"/>
      <c r="I511" s="524" t="s">
        <v>2091</v>
      </c>
    </row>
    <row r="512" spans="1:9" ht="13.5">
      <c r="A512" s="518"/>
      <c r="D512" s="1293"/>
      <c r="E512" s="1293"/>
      <c r="F512" s="1293"/>
      <c r="I512" s="524"/>
    </row>
    <row r="513" spans="1:9">
      <c r="A513" s="524"/>
      <c r="B513" s="524"/>
      <c r="D513" s="481"/>
      <c r="I513" s="524"/>
    </row>
    <row r="514" spans="1:9">
      <c r="A514" s="524"/>
      <c r="B514" s="519" t="s">
        <v>2639</v>
      </c>
      <c r="D514" s="1294" t="s">
        <v>1241</v>
      </c>
      <c r="E514" s="1294"/>
      <c r="F514" s="1294"/>
      <c r="I514" s="524" t="s">
        <v>2144</v>
      </c>
    </row>
    <row r="515" spans="1:9" ht="13.5">
      <c r="A515" s="518"/>
      <c r="B515" s="518"/>
      <c r="D515" s="480"/>
      <c r="I515" s="524"/>
    </row>
    <row r="516" spans="1:9">
      <c r="A516" s="1281" t="s">
        <v>1076</v>
      </c>
      <c r="B516" s="1281"/>
      <c r="C516" s="1281"/>
      <c r="D516" s="1281"/>
      <c r="E516" s="1281"/>
      <c r="F516" s="1281"/>
      <c r="G516" s="1281"/>
      <c r="H516" s="1063"/>
      <c r="I516" s="1256"/>
    </row>
    <row r="517" spans="1:9" ht="12.05" customHeight="1">
      <c r="A517" s="518"/>
      <c r="B517" s="518"/>
      <c r="D517" s="480"/>
      <c r="I517" s="524"/>
    </row>
    <row r="518" spans="1:9">
      <c r="C518" s="516"/>
      <c r="D518" s="1292" t="s">
        <v>800</v>
      </c>
      <c r="E518" s="1292"/>
      <c r="F518" s="1292"/>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75" t="s">
        <v>2369</v>
      </c>
      <c r="E522" s="1275"/>
      <c r="F522" s="1275"/>
      <c r="I522" s="524" t="s">
        <v>2126</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93" t="s">
        <v>2371</v>
      </c>
      <c r="E531" s="1293"/>
      <c r="F531" s="1293"/>
      <c r="I531" s="524" t="s">
        <v>2092</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1077</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1078</v>
      </c>
      <c r="B538" s="1312"/>
      <c r="C538" s="1312"/>
      <c r="D538" s="1312"/>
      <c r="E538" s="1312"/>
      <c r="F538" s="1312"/>
      <c r="G538" s="1312"/>
      <c r="H538" s="1063"/>
      <c r="I538" s="1256"/>
    </row>
    <row r="539" spans="1:9">
      <c r="A539" s="480"/>
      <c r="B539" s="480"/>
      <c r="C539" s="521"/>
      <c r="D539" s="480"/>
      <c r="F539" s="480"/>
      <c r="I539" s="524"/>
    </row>
    <row r="540" spans="1:9">
      <c r="C540" s="521"/>
      <c r="D540" s="1292" t="s">
        <v>689</v>
      </c>
      <c r="E540" s="1292"/>
      <c r="F540" s="1292"/>
      <c r="I540" s="524"/>
    </row>
    <row r="541" spans="1:9">
      <c r="C541" s="521"/>
      <c r="D541" s="1294" t="s">
        <v>1135</v>
      </c>
      <c r="E541" s="1294"/>
      <c r="F541" s="1294"/>
      <c r="I541" s="524"/>
    </row>
    <row r="542" spans="1:9">
      <c r="C542" s="521"/>
      <c r="D542" s="480"/>
      <c r="E542" s="480"/>
      <c r="F542" s="480"/>
      <c r="I542" s="524"/>
    </row>
    <row r="543" spans="1:9" ht="13.75" customHeight="1">
      <c r="A543" s="518"/>
      <c r="B543" s="519" t="s">
        <v>2638</v>
      </c>
      <c r="C543" s="521"/>
      <c r="D543" s="1294" t="s">
        <v>894</v>
      </c>
      <c r="E543" s="1294"/>
      <c r="F543" s="1294"/>
      <c r="I543" s="524" t="s">
        <v>2142</v>
      </c>
    </row>
    <row r="544" spans="1:9" ht="13.75" customHeight="1">
      <c r="A544" s="521"/>
      <c r="B544" s="521"/>
      <c r="C544" s="521"/>
      <c r="D544" s="480"/>
      <c r="I544" s="524"/>
    </row>
    <row r="545" spans="1:9" ht="13.5">
      <c r="A545" s="518"/>
      <c r="B545" s="519" t="s">
        <v>2638</v>
      </c>
      <c r="C545" s="521"/>
      <c r="D545" s="1293" t="s">
        <v>1136</v>
      </c>
      <c r="E545" s="1293"/>
      <c r="F545" s="1293"/>
      <c r="I545" s="524" t="s">
        <v>2142</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2638</v>
      </c>
      <c r="C548" s="521"/>
      <c r="D548" s="1293" t="s">
        <v>1137</v>
      </c>
      <c r="E548" s="1293"/>
      <c r="F548" s="1293"/>
      <c r="I548" s="524" t="s">
        <v>2093</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2638</v>
      </c>
      <c r="C551" s="521"/>
      <c r="D551" s="1293" t="s">
        <v>1138</v>
      </c>
      <c r="E551" s="1293"/>
      <c r="F551" s="1293"/>
      <c r="I551" s="524" t="s">
        <v>2094</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2638</v>
      </c>
      <c r="C554" s="521"/>
      <c r="D554" s="1293" t="s">
        <v>1139</v>
      </c>
      <c r="E554" s="1293"/>
      <c r="F554" s="1293"/>
      <c r="I554" s="524" t="s">
        <v>2143</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2639</v>
      </c>
      <c r="C558" s="521"/>
      <c r="D558" s="1293" t="s">
        <v>1257</v>
      </c>
      <c r="E558" s="1293"/>
      <c r="F558" s="1293"/>
      <c r="I558" s="524" t="s">
        <v>2142</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2638</v>
      </c>
      <c r="C561" s="521"/>
      <c r="D561" s="1293" t="s">
        <v>1141</v>
      </c>
      <c r="E561" s="1293"/>
      <c r="F561" s="1293"/>
      <c r="I561" s="524" t="s">
        <v>2142</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2638</v>
      </c>
      <c r="C564" s="521"/>
      <c r="D564" s="1294" t="s">
        <v>1142</v>
      </c>
      <c r="E564" s="1294"/>
      <c r="F564" s="1294"/>
      <c r="I564" s="524" t="s">
        <v>2145</v>
      </c>
    </row>
    <row r="565" spans="1:9">
      <c r="A565" s="524"/>
      <c r="B565" s="524"/>
      <c r="C565" s="521"/>
      <c r="D565" s="1294" t="s">
        <v>2202</v>
      </c>
      <c r="E565" s="1294"/>
      <c r="F565" s="1294"/>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294" t="s">
        <v>1144</v>
      </c>
      <c r="E568" s="1294"/>
      <c r="F568" s="1294"/>
      <c r="I568" s="524" t="s">
        <v>2095</v>
      </c>
    </row>
    <row r="569" spans="1:9">
      <c r="C569" s="521"/>
      <c r="D569" s="1293" t="s">
        <v>1145</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2638</v>
      </c>
      <c r="C573" s="521"/>
      <c r="D573" s="1293" t="s">
        <v>2372</v>
      </c>
      <c r="E573" s="1293"/>
      <c r="F573" s="1293"/>
      <c r="I573" s="524" t="s">
        <v>2096</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1079</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210</v>
      </c>
      <c r="E580" s="1295"/>
      <c r="F580" s="1295"/>
      <c r="I580" s="524"/>
    </row>
    <row r="581" spans="1:9">
      <c r="A581" s="517"/>
      <c r="B581" s="517"/>
      <c r="C581" s="517"/>
      <c r="D581" s="1280" t="s">
        <v>1095</v>
      </c>
      <c r="E581" s="1280"/>
      <c r="F581" s="1280"/>
      <c r="I581" s="524"/>
    </row>
    <row r="582" spans="1:9">
      <c r="A582" s="433"/>
      <c r="B582" s="433"/>
      <c r="C582" s="517"/>
      <c r="D582" s="533"/>
      <c r="I582" s="524" t="s">
        <v>2097</v>
      </c>
    </row>
    <row r="583" spans="1:9">
      <c r="A583" s="517"/>
      <c r="B583" s="519" t="s">
        <v>2638</v>
      </c>
      <c r="D583" s="1280" t="s">
        <v>900</v>
      </c>
      <c r="E583" s="1280"/>
      <c r="F583" s="1280"/>
      <c r="I583" s="524"/>
    </row>
    <row r="584" spans="1:9">
      <c r="A584" s="524"/>
      <c r="B584" s="524"/>
      <c r="D584" s="510"/>
      <c r="I584" s="524"/>
    </row>
    <row r="585" spans="1:9">
      <c r="A585" s="524"/>
      <c r="B585" s="519" t="s">
        <v>2638</v>
      </c>
      <c r="D585" s="1280" t="s">
        <v>2373</v>
      </c>
      <c r="E585" s="1280"/>
      <c r="F585" s="1280"/>
      <c r="I585" s="524" t="s">
        <v>2099</v>
      </c>
    </row>
    <row r="586" spans="1:9">
      <c r="A586" s="524"/>
      <c r="B586" s="524"/>
      <c r="D586" s="1280"/>
      <c r="E586" s="1280"/>
      <c r="F586" s="1280"/>
      <c r="I586" s="524" t="s">
        <v>2098</v>
      </c>
    </row>
    <row r="587" spans="1:9">
      <c r="A587" s="524"/>
      <c r="B587" s="524"/>
      <c r="D587" s="1280"/>
      <c r="E587" s="1280"/>
      <c r="F587" s="1280"/>
      <c r="I587" s="524"/>
    </row>
    <row r="588" spans="1:9">
      <c r="A588" s="524"/>
      <c r="B588" s="524"/>
      <c r="D588" s="1280"/>
      <c r="E588" s="1280"/>
      <c r="F588" s="1280"/>
      <c r="I588" s="524"/>
    </row>
    <row r="589" spans="1:9">
      <c r="A589" s="524"/>
      <c r="B589" s="519" t="s">
        <v>2639</v>
      </c>
      <c r="D589" s="1280" t="s">
        <v>1097</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2638</v>
      </c>
      <c r="D594" s="1280" t="s">
        <v>2374</v>
      </c>
      <c r="E594" s="1280"/>
      <c r="F594" s="1280"/>
      <c r="I594" s="524"/>
    </row>
    <row r="595" spans="1:9">
      <c r="A595" s="524"/>
      <c r="B595" s="524"/>
      <c r="D595" s="1280"/>
      <c r="E595" s="1280"/>
      <c r="F595" s="1280"/>
      <c r="I595" s="524"/>
    </row>
    <row r="596" spans="1:9">
      <c r="A596" s="524"/>
      <c r="B596" s="524"/>
      <c r="D596" s="533"/>
      <c r="I596" s="524"/>
    </row>
    <row r="597" spans="1:9">
      <c r="A597" s="524"/>
      <c r="B597" s="519" t="s">
        <v>2639</v>
      </c>
      <c r="D597" s="1280" t="s">
        <v>1099</v>
      </c>
      <c r="E597" s="1280"/>
      <c r="F597" s="1280"/>
      <c r="I597" s="524" t="s">
        <v>2146</v>
      </c>
    </row>
    <row r="598" spans="1:9">
      <c r="A598" s="524"/>
      <c r="B598" s="524"/>
      <c r="D598" s="1280"/>
      <c r="E598" s="1280"/>
      <c r="F598" s="1280"/>
      <c r="I598" s="524"/>
    </row>
    <row r="599" spans="1:9" ht="13.5">
      <c r="A599" s="518"/>
      <c r="B599" s="518"/>
      <c r="D599" s="533"/>
      <c r="I599" s="524"/>
    </row>
    <row r="600" spans="1:9">
      <c r="A600" s="1281" t="s">
        <v>1080</v>
      </c>
      <c r="B600" s="1281"/>
      <c r="C600" s="1281"/>
      <c r="D600" s="1281"/>
      <c r="E600" s="1281"/>
      <c r="F600" s="1281"/>
      <c r="G600" s="1281"/>
      <c r="H600" s="1063"/>
      <c r="I600" s="1256"/>
    </row>
    <row r="601" spans="1:9">
      <c r="I601" s="524"/>
    </row>
    <row r="602" spans="1:9">
      <c r="D602" s="1292" t="s">
        <v>1180</v>
      </c>
      <c r="E602" s="1292"/>
      <c r="F602" s="1292"/>
      <c r="I602" s="524"/>
    </row>
    <row r="603" spans="1:9">
      <c r="D603" s="1315" t="s">
        <v>1181</v>
      </c>
      <c r="E603" s="1315"/>
      <c r="F603" s="1315"/>
      <c r="I603" s="524"/>
    </row>
    <row r="604" spans="1:9">
      <c r="D604" s="478"/>
      <c r="I604" s="524"/>
    </row>
    <row r="605" spans="1:9" ht="14.25" customHeight="1">
      <c r="A605" s="518"/>
      <c r="B605" s="519" t="s">
        <v>2638</v>
      </c>
      <c r="D605" s="1333" t="s">
        <v>2203</v>
      </c>
      <c r="E605" s="1333"/>
      <c r="F605" s="1333"/>
      <c r="I605" s="524" t="s">
        <v>2127</v>
      </c>
    </row>
    <row r="606" spans="1:9">
      <c r="D606" s="1333"/>
      <c r="E606" s="1333"/>
      <c r="F606" s="1333"/>
      <c r="I606" s="524"/>
    </row>
    <row r="607" spans="1:9">
      <c r="D607" s="416"/>
      <c r="E607" s="1071" t="s">
        <v>2204</v>
      </c>
      <c r="F607" s="416"/>
      <c r="I607" s="524"/>
    </row>
    <row r="608" spans="1:9">
      <c r="I608" s="524"/>
    </row>
    <row r="609" spans="1:9">
      <c r="A609" s="1281" t="s">
        <v>1081</v>
      </c>
      <c r="B609" s="1281"/>
      <c r="C609" s="1281"/>
      <c r="D609" s="1281"/>
      <c r="E609" s="1281"/>
      <c r="F609" s="1281"/>
      <c r="G609" s="1281"/>
      <c r="H609" s="1063"/>
      <c r="I609" s="1256"/>
    </row>
    <row r="610" spans="1:9">
      <c r="A610" s="480"/>
      <c r="B610" s="480"/>
      <c r="I610" s="524"/>
    </row>
    <row r="611" spans="1:9">
      <c r="A611" s="516"/>
      <c r="B611" s="516"/>
      <c r="C611" s="516"/>
      <c r="D611" s="1316" t="s">
        <v>1183</v>
      </c>
      <c r="E611" s="1316"/>
      <c r="F611" s="1316"/>
      <c r="I611" s="524"/>
    </row>
    <row r="612" spans="1:9">
      <c r="A612" s="516"/>
      <c r="B612" s="516"/>
      <c r="C612" s="516"/>
      <c r="D612" s="1316"/>
      <c r="E612" s="1316"/>
      <c r="F612" s="1316"/>
      <c r="I612" s="524"/>
    </row>
    <row r="613" spans="1:9">
      <c r="C613" s="517"/>
      <c r="D613" s="1315" t="s">
        <v>1184</v>
      </c>
      <c r="E613" s="1315"/>
      <c r="F613" s="1315"/>
      <c r="I613" s="524"/>
    </row>
    <row r="614" spans="1:9">
      <c r="C614" s="517"/>
      <c r="D614" s="478"/>
      <c r="E614" s="478"/>
      <c r="F614" s="478"/>
      <c r="I614" s="524"/>
    </row>
    <row r="615" spans="1:9" ht="12.7" customHeight="1">
      <c r="A615" s="524"/>
      <c r="B615" s="519" t="s">
        <v>2638</v>
      </c>
      <c r="D615" s="1291" t="s">
        <v>1185</v>
      </c>
      <c r="E615" s="1291"/>
      <c r="F615" s="1291"/>
      <c r="I615" s="524" t="s">
        <v>2147</v>
      </c>
    </row>
    <row r="616" spans="1:9">
      <c r="D616" s="1291"/>
      <c r="E616" s="1291"/>
      <c r="F616" s="1291"/>
      <c r="I616" s="524"/>
    </row>
    <row r="617" spans="1:9">
      <c r="I617" s="524"/>
    </row>
    <row r="618" spans="1:9">
      <c r="B618" s="519" t="s">
        <v>2638</v>
      </c>
      <c r="D618" s="1291" t="s">
        <v>1186</v>
      </c>
      <c r="E618" s="1291"/>
      <c r="F618" s="1291"/>
      <c r="I618" s="524" t="s">
        <v>2100</v>
      </c>
    </row>
    <row r="619" spans="1:9">
      <c r="C619" s="534"/>
      <c r="D619" s="1291"/>
      <c r="E619" s="1291"/>
      <c r="F619" s="1291"/>
      <c r="I619" s="524"/>
    </row>
    <row r="620" spans="1:9">
      <c r="C620" s="534"/>
      <c r="I620" s="524"/>
    </row>
    <row r="621" spans="1:9">
      <c r="B621" s="519" t="s">
        <v>2639</v>
      </c>
      <c r="C621" s="534"/>
      <c r="D621" s="1291" t="s">
        <v>1187</v>
      </c>
      <c r="E621" s="1291"/>
      <c r="F621" s="1291"/>
      <c r="I621" s="524" t="s">
        <v>2148</v>
      </c>
    </row>
    <row r="622" spans="1:9">
      <c r="C622" s="534"/>
      <c r="D622" s="1291"/>
      <c r="E622" s="1291"/>
      <c r="F622" s="1291"/>
      <c r="I622" s="534" t="s">
        <v>2149</v>
      </c>
    </row>
    <row r="623" spans="1:9">
      <c r="C623" s="534"/>
      <c r="I623" s="524"/>
    </row>
    <row r="624" spans="1:9">
      <c r="A624" s="1281" t="s">
        <v>1082</v>
      </c>
      <c r="B624" s="1281"/>
      <c r="C624" s="1281"/>
      <c r="D624" s="1281"/>
      <c r="E624" s="1281"/>
      <c r="F624" s="1281"/>
      <c r="G624" s="1281"/>
      <c r="H624" s="1063"/>
      <c r="I624" s="1256"/>
    </row>
    <row r="625" spans="1:9">
      <c r="A625" s="516"/>
      <c r="B625" s="516"/>
      <c r="C625" s="516"/>
      <c r="I625" s="524"/>
    </row>
    <row r="626" spans="1:9">
      <c r="C626" s="524"/>
      <c r="D626" s="1292" t="s">
        <v>1188</v>
      </c>
      <c r="E626" s="1292"/>
      <c r="F626" s="1292"/>
      <c r="I626" s="524"/>
    </row>
    <row r="627" spans="1:9">
      <c r="A627" s="524"/>
      <c r="B627" s="524"/>
      <c r="D627" s="435"/>
      <c r="I627" s="524"/>
    </row>
    <row r="628" spans="1:9" ht="14.25" customHeight="1">
      <c r="A628" s="518"/>
      <c r="B628" s="519" t="s">
        <v>2638</v>
      </c>
      <c r="D628" s="1333" t="s">
        <v>2375</v>
      </c>
      <c r="E628" s="1333"/>
      <c r="F628" s="1333"/>
      <c r="I628" s="524" t="s">
        <v>2128</v>
      </c>
    </row>
    <row r="629" spans="1:9">
      <c r="D629" s="1333"/>
      <c r="E629" s="1333"/>
      <c r="F629" s="1333"/>
      <c r="I629" s="524"/>
    </row>
    <row r="630" spans="1:9">
      <c r="D630" s="416"/>
      <c r="E630" s="1071" t="s">
        <v>2206</v>
      </c>
      <c r="F630" s="416"/>
      <c r="I630" s="524"/>
    </row>
    <row r="631" spans="1:9">
      <c r="D631" s="1293" t="s">
        <v>2205</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2639</v>
      </c>
      <c r="D635" s="1293" t="s">
        <v>1190</v>
      </c>
      <c r="E635" s="1293"/>
      <c r="F635" s="1293"/>
      <c r="I635" s="524" t="s">
        <v>2150</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2639</v>
      </c>
      <c r="C638" s="521"/>
      <c r="D638" s="1293" t="s">
        <v>1329</v>
      </c>
      <c r="E638" s="1293"/>
      <c r="F638" s="1293"/>
      <c r="I638" s="524" t="s">
        <v>2101</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2639</v>
      </c>
      <c r="C641" s="521"/>
      <c r="D641" s="1294" t="s">
        <v>1192</v>
      </c>
      <c r="E641" s="1294"/>
      <c r="F641" s="1294"/>
      <c r="I641" s="524" t="s">
        <v>2101</v>
      </c>
    </row>
    <row r="642" spans="1:9">
      <c r="A642" s="521"/>
      <c r="B642" s="521"/>
      <c r="C642" s="521"/>
      <c r="D642" s="480"/>
      <c r="E642" s="480"/>
      <c r="F642" s="480"/>
      <c r="I642" s="524"/>
    </row>
    <row r="643" spans="1:9">
      <c r="A643" s="1281" t="s">
        <v>1083</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1242</v>
      </c>
      <c r="E645" s="1292"/>
      <c r="F645" s="1292"/>
      <c r="I645" s="524"/>
    </row>
    <row r="646" spans="1:9">
      <c r="A646" s="517"/>
      <c r="B646" s="517"/>
      <c r="C646" s="517"/>
      <c r="D646" s="1294" t="s">
        <v>1243</v>
      </c>
      <c r="E646" s="1294"/>
      <c r="F646" s="1294"/>
      <c r="I646" s="524"/>
    </row>
    <row r="647" spans="1:9">
      <c r="A647" s="517"/>
      <c r="B647" s="517"/>
      <c r="C647" s="517"/>
      <c r="D647" s="480"/>
      <c r="E647" s="480"/>
      <c r="F647" s="480"/>
      <c r="I647" s="524"/>
    </row>
    <row r="648" spans="1:9" ht="12.7" customHeight="1">
      <c r="B648" s="519" t="s">
        <v>2639</v>
      </c>
      <c r="C648" s="521"/>
      <c r="D648" s="1293" t="s">
        <v>1386</v>
      </c>
      <c r="E648" s="1293"/>
      <c r="F648" s="1293"/>
      <c r="I648" s="524" t="s">
        <v>2153</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2639</v>
      </c>
      <c r="C653" s="521"/>
      <c r="D653" s="1293" t="s">
        <v>1388</v>
      </c>
      <c r="E653" s="1293"/>
      <c r="F653" s="1293"/>
      <c r="I653" s="524" t="s">
        <v>2153</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2639</v>
      </c>
      <c r="C659" s="521"/>
      <c r="D659" s="1293" t="s">
        <v>1387</v>
      </c>
      <c r="E659" s="1293"/>
      <c r="F659" s="1293"/>
      <c r="I659" s="524" t="s">
        <v>2153</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2639</v>
      </c>
      <c r="C664" s="521"/>
      <c r="D664" s="1293" t="s">
        <v>2376</v>
      </c>
      <c r="E664" s="1293"/>
      <c r="F664" s="1293"/>
      <c r="I664" s="524" t="s">
        <v>2153</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1084</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1120</v>
      </c>
      <c r="E678" s="1294"/>
      <c r="F678" s="1294"/>
      <c r="H678" s="535"/>
      <c r="I678" s="517"/>
      <c r="J678" s="535"/>
      <c r="K678" s="535"/>
    </row>
    <row r="679" spans="1:11">
      <c r="A679" s="517"/>
      <c r="B679" s="517"/>
      <c r="C679" s="517"/>
      <c r="H679" s="535"/>
      <c r="I679" s="517"/>
      <c r="J679" s="535"/>
      <c r="K679" s="535"/>
    </row>
    <row r="680" spans="1:11" ht="13.5">
      <c r="A680" s="518"/>
      <c r="B680" s="519" t="s">
        <v>2638</v>
      </c>
      <c r="C680" s="517"/>
      <c r="D680" s="1294" t="s">
        <v>896</v>
      </c>
      <c r="E680" s="1294"/>
      <c r="F680" s="1294"/>
      <c r="H680" s="535"/>
      <c r="I680" s="517" t="s">
        <v>2129</v>
      </c>
      <c r="J680" s="535"/>
      <c r="K680" s="535"/>
    </row>
    <row r="681" spans="1:11">
      <c r="A681" s="517"/>
      <c r="B681" s="517"/>
      <c r="C681" s="517"/>
      <c r="D681" s="1294" t="s">
        <v>906</v>
      </c>
      <c r="E681" s="1294"/>
      <c r="F681" s="1294"/>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93" t="s">
        <v>2377</v>
      </c>
      <c r="E685" s="1293"/>
      <c r="F685" s="1293"/>
      <c r="H685" s="535"/>
      <c r="I685" s="517" t="s">
        <v>2151</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2130</v>
      </c>
      <c r="J688" s="535"/>
      <c r="K688" s="535"/>
    </row>
    <row r="689" spans="1:11" ht="13.5">
      <c r="A689" s="518"/>
      <c r="B689" s="519" t="s">
        <v>2638</v>
      </c>
      <c r="C689" s="517"/>
      <c r="D689" s="1294" t="s">
        <v>934</v>
      </c>
      <c r="E689" s="1294"/>
      <c r="F689" s="1294"/>
      <c r="H689" s="535"/>
      <c r="I689" s="517"/>
      <c r="J689" s="535"/>
      <c r="K689" s="535"/>
    </row>
    <row r="690" spans="1:11" ht="13.5">
      <c r="A690" s="518"/>
      <c r="B690" s="518"/>
      <c r="C690" s="517"/>
      <c r="D690" s="1294" t="s">
        <v>906</v>
      </c>
      <c r="E690" s="1294"/>
      <c r="F690" s="1294"/>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93" t="s">
        <v>1133</v>
      </c>
      <c r="E693" s="1293"/>
      <c r="F693" s="1293"/>
      <c r="H693" s="535"/>
      <c r="I693" s="517" t="s">
        <v>2102</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93" t="s">
        <v>1304</v>
      </c>
      <c r="E700" s="1293"/>
      <c r="F700" s="1293"/>
      <c r="H700" s="535"/>
      <c r="I700" s="517" t="s">
        <v>2102</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93" t="s">
        <v>1124</v>
      </c>
      <c r="E703" s="1293"/>
      <c r="F703" s="1293"/>
      <c r="H703" s="535"/>
      <c r="I703" s="517" t="s">
        <v>2102</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2639</v>
      </c>
      <c r="C716" s="517"/>
      <c r="D716" s="1293" t="s">
        <v>1131</v>
      </c>
      <c r="E716" s="1293"/>
      <c r="F716" s="1293"/>
      <c r="H716" s="535"/>
      <c r="I716" s="517" t="s">
        <v>2152</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93" t="s">
        <v>1125</v>
      </c>
      <c r="E719" s="1293"/>
      <c r="F719" s="1293"/>
      <c r="H719" s="535"/>
      <c r="I719" s="517" t="s">
        <v>2152</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2639</v>
      </c>
      <c r="C723" s="517"/>
      <c r="D723" s="1293" t="s">
        <v>1126</v>
      </c>
      <c r="E723" s="1293"/>
      <c r="F723" s="1293"/>
      <c r="H723" s="535"/>
      <c r="I723" s="517" t="s">
        <v>2152</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2639</v>
      </c>
      <c r="C727" s="517"/>
      <c r="D727" s="1293" t="s">
        <v>1127</v>
      </c>
      <c r="E727" s="1293"/>
      <c r="F727" s="1293"/>
      <c r="H727" s="535"/>
      <c r="I727" s="517" t="s">
        <v>2103</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2639</v>
      </c>
      <c r="C732" s="517"/>
      <c r="D732" s="1293" t="s">
        <v>2500</v>
      </c>
      <c r="E732" s="1293"/>
      <c r="F732" s="1293"/>
      <c r="H732" s="535"/>
      <c r="I732" s="517" t="s">
        <v>2119</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2386</v>
      </c>
      <c r="E739" s="1310"/>
      <c r="F739" s="1310"/>
      <c r="H739" s="535"/>
      <c r="I739" s="517"/>
      <c r="J739" s="535"/>
      <c r="K739" s="535"/>
    </row>
    <row r="740" spans="1:11">
      <c r="A740" s="517"/>
      <c r="B740" s="517"/>
      <c r="C740" s="517"/>
      <c r="D740" s="369"/>
      <c r="H740" s="535"/>
      <c r="I740" s="517"/>
      <c r="J740" s="535"/>
      <c r="K740" s="535"/>
    </row>
    <row r="741" spans="1:11">
      <c r="A741" s="1312" t="s">
        <v>1085</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1101</v>
      </c>
      <c r="E743" s="1295"/>
      <c r="F743" s="1295"/>
      <c r="G743" s="535"/>
      <c r="H743" s="535"/>
      <c r="I743" s="517"/>
      <c r="J743" s="535"/>
      <c r="K743" s="535"/>
    </row>
    <row r="744" spans="1:11">
      <c r="A744" s="517"/>
      <c r="B744" s="517"/>
      <c r="C744" s="517"/>
      <c r="D744" s="1296" t="s">
        <v>1102</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2638</v>
      </c>
      <c r="D746" s="1293" t="s">
        <v>1103</v>
      </c>
      <c r="E746" s="1293"/>
      <c r="F746" s="1293"/>
      <c r="G746" s="535"/>
      <c r="H746" s="535"/>
      <c r="I746" s="517" t="s">
        <v>2104</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93" t="s">
        <v>1345</v>
      </c>
      <c r="E753" s="1293"/>
      <c r="F753" s="1293"/>
      <c r="I753" s="1261" t="s">
        <v>2104</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2639</v>
      </c>
      <c r="C758" s="538"/>
      <c r="D758" s="1291" t="s">
        <v>1346</v>
      </c>
      <c r="E758" s="1291"/>
      <c r="F758" s="1291"/>
      <c r="I758" s="1261" t="s">
        <v>2105</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2639</v>
      </c>
      <c r="D762" s="1293" t="s">
        <v>1301</v>
      </c>
      <c r="E762" s="1293"/>
      <c r="F762" s="1293"/>
      <c r="G762" s="535"/>
      <c r="H762" s="535"/>
      <c r="I762" s="517" t="s">
        <v>2104</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2639</v>
      </c>
      <c r="D765" s="1293" t="s">
        <v>1318</v>
      </c>
      <c r="E765" s="1293"/>
      <c r="F765" s="1293"/>
      <c r="G765" s="535"/>
      <c r="H765" s="535"/>
      <c r="I765" s="517" t="s">
        <v>2104</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1987</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2041</v>
      </c>
      <c r="E771" s="1334"/>
      <c r="F771" s="1334"/>
      <c r="G771" s="3"/>
      <c r="I771" s="524"/>
    </row>
    <row r="772" spans="1:9">
      <c r="A772" s="57"/>
      <c r="B772" s="57"/>
      <c r="C772" s="385"/>
      <c r="D772" s="1279" t="s">
        <v>1940</v>
      </c>
      <c r="E772" s="1279"/>
      <c r="F772" s="1279"/>
      <c r="G772" s="3"/>
      <c r="I772" s="524"/>
    </row>
    <row r="773" spans="1:9">
      <c r="A773" s="57"/>
      <c r="B773" s="57"/>
      <c r="C773" s="385"/>
      <c r="D773" s="481"/>
      <c r="E773" s="481"/>
      <c r="F773" s="481"/>
      <c r="G773" s="3"/>
      <c r="I773" s="524"/>
    </row>
    <row r="774" spans="1:9">
      <c r="A774" s="57"/>
      <c r="B774" s="519" t="s">
        <v>2638</v>
      </c>
      <c r="C774" s="385"/>
      <c r="D774" s="1306" t="s">
        <v>1941</v>
      </c>
      <c r="E774" s="1306"/>
      <c r="F774" s="1306"/>
      <c r="G774" s="3"/>
      <c r="I774" s="517" t="s">
        <v>2154</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2639</v>
      </c>
      <c r="C778" s="172"/>
      <c r="D778" s="1306" t="s">
        <v>1942</v>
      </c>
      <c r="E778" s="1306"/>
      <c r="F778" s="1306"/>
      <c r="G778" s="3"/>
      <c r="I778" s="517" t="s">
        <v>2154</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2639</v>
      </c>
      <c r="C782" s="1024"/>
      <c r="D782" s="1306" t="s">
        <v>1943</v>
      </c>
      <c r="E782" s="1306"/>
      <c r="F782" s="1306"/>
      <c r="G782" s="1023"/>
      <c r="I782" s="517" t="s">
        <v>2154</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2639</v>
      </c>
      <c r="C786" s="1024"/>
      <c r="D786" s="1306" t="s">
        <v>1944</v>
      </c>
      <c r="E786" s="1306"/>
      <c r="F786" s="1306"/>
      <c r="G786" s="1023"/>
      <c r="I786" s="517" t="s">
        <v>2154</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1988</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2639</v>
      </c>
      <c r="C796" s="1024"/>
      <c r="D796" s="1306" t="s">
        <v>1945</v>
      </c>
      <c r="E796" s="1306"/>
      <c r="F796" s="1306"/>
      <c r="G796" s="1023"/>
      <c r="I796" s="517" t="s">
        <v>2154</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2639</v>
      </c>
      <c r="C803" s="1024"/>
      <c r="D803" s="1306" t="s">
        <v>1946</v>
      </c>
      <c r="E803" s="1306"/>
      <c r="F803" s="1306"/>
      <c r="G803" s="1023"/>
      <c r="I803" s="517" t="s">
        <v>2154</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2639</v>
      </c>
      <c r="C810" s="1024"/>
      <c r="D810" s="1303" t="s">
        <v>1947</v>
      </c>
      <c r="E810" s="1303"/>
      <c r="F810" s="1303"/>
      <c r="G810" s="1023"/>
      <c r="I810" s="517" t="s">
        <v>2154</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1948</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1989</v>
      </c>
      <c r="E819" s="1299"/>
      <c r="F819" s="1299"/>
      <c r="G819" s="3"/>
      <c r="I819" s="524"/>
    </row>
    <row r="820" spans="1:9" ht="14.25" customHeight="1">
      <c r="A820" s="176"/>
      <c r="B820" s="176"/>
      <c r="C820" s="385"/>
      <c r="D820" s="1266" t="s">
        <v>1949</v>
      </c>
      <c r="E820" s="1266"/>
      <c r="F820" s="1266"/>
      <c r="G820" s="3"/>
      <c r="I820" s="524"/>
    </row>
    <row r="821" spans="1:9" ht="12.7" customHeight="1">
      <c r="A821" s="176"/>
      <c r="B821" s="176"/>
      <c r="C821" s="385"/>
      <c r="D821" s="474"/>
      <c r="E821" s="474"/>
      <c r="F821" s="474"/>
      <c r="G821" s="3"/>
      <c r="I821" s="524"/>
    </row>
    <row r="822" spans="1:9" ht="12.7" customHeight="1">
      <c r="A822" s="385"/>
      <c r="B822" s="519" t="s">
        <v>2638</v>
      </c>
      <c r="C822" s="1024"/>
      <c r="D822" s="1266" t="s">
        <v>1950</v>
      </c>
      <c r="E822" s="1266"/>
      <c r="F822" s="1266"/>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36" t="s">
        <v>2387</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2638</v>
      </c>
      <c r="C836" s="1024"/>
      <c r="D836" s="1266" t="s">
        <v>1951</v>
      </c>
      <c r="E836" s="1266"/>
      <c r="F836" s="1266"/>
      <c r="G836" s="3"/>
      <c r="I836" s="524" t="s">
        <v>2140</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2639</v>
      </c>
      <c r="C840" s="1024"/>
      <c r="D840" s="1299" t="s">
        <v>1952</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2378</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2639</v>
      </c>
      <c r="C849" s="1024"/>
      <c r="D849" s="1266" t="s">
        <v>1953</v>
      </c>
      <c r="E849" s="1266"/>
      <c r="F849" s="1266"/>
      <c r="G849" s="3"/>
      <c r="I849" s="524" t="s">
        <v>2123</v>
      </c>
    </row>
    <row r="850" spans="1:9" ht="12.7" customHeight="1">
      <c r="A850" s="176"/>
      <c r="B850" s="176"/>
      <c r="C850" s="1024"/>
      <c r="D850" s="1266" t="s">
        <v>1954</v>
      </c>
      <c r="E850" s="1266"/>
      <c r="F850" s="1266"/>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6" t="s">
        <v>1955</v>
      </c>
      <c r="E853" s="1266"/>
      <c r="F853" s="1266"/>
      <c r="G853" s="3"/>
      <c r="I853" s="524" t="s">
        <v>2141</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1990</v>
      </c>
      <c r="E860" s="1282"/>
      <c r="F860" s="1282"/>
      <c r="G860" s="1023"/>
      <c r="I860" s="524"/>
    </row>
    <row r="861" spans="1:9" ht="12.7" customHeight="1">
      <c r="A861" s="385"/>
      <c r="B861" s="385"/>
      <c r="C861" s="175"/>
      <c r="D861" s="1335" t="s">
        <v>1957</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77" t="s">
        <v>1958</v>
      </c>
      <c r="E863" s="1277"/>
      <c r="F863" s="1277"/>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6" t="s">
        <v>1959</v>
      </c>
      <c r="E866" s="1284"/>
      <c r="F866" s="1284"/>
      <c r="G866" s="3"/>
      <c r="I866" s="524" t="s">
        <v>2141</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2639</v>
      </c>
      <c r="C869" s="385"/>
      <c r="D869" s="1331" t="s">
        <v>1960</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2378</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2639</v>
      </c>
      <c r="C878" s="385"/>
      <c r="D878" s="1309" t="s">
        <v>1953</v>
      </c>
      <c r="E878" s="1309"/>
      <c r="F878" s="1309"/>
      <c r="G878" s="1023"/>
      <c r="I878" s="524" t="s">
        <v>2123</v>
      </c>
    </row>
    <row r="879" spans="1:9" ht="12.7" customHeight="1">
      <c r="A879" s="176"/>
      <c r="B879" s="176"/>
      <c r="C879" s="385"/>
      <c r="D879" s="1309" t="s">
        <v>1954</v>
      </c>
      <c r="E879" s="1309"/>
      <c r="F879" s="1309"/>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6" t="s">
        <v>1955</v>
      </c>
      <c r="E882" s="1266"/>
      <c r="F882" s="1266"/>
      <c r="G882" s="1023"/>
      <c r="I882" s="524" t="s">
        <v>2141</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1991</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1997</v>
      </c>
      <c r="E889" s="1305"/>
      <c r="F889" s="1305"/>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305" t="s">
        <v>1992</v>
      </c>
      <c r="E893" s="1305"/>
      <c r="F893" s="1305"/>
      <c r="G893" s="1023"/>
      <c r="I893" s="524"/>
    </row>
    <row r="894" spans="1:9" ht="12.7" customHeight="1">
      <c r="A894" s="172"/>
      <c r="B894" s="172"/>
      <c r="C894" s="172"/>
      <c r="D894" s="1277" t="s">
        <v>1961</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6" t="s">
        <v>1965</v>
      </c>
      <c r="E896" s="1266"/>
      <c r="F896" s="1266"/>
      <c r="G896" s="3"/>
      <c r="I896" s="524" t="s">
        <v>2107</v>
      </c>
    </row>
    <row r="897" spans="1:9" ht="12.7" customHeight="1">
      <c r="A897" s="385"/>
      <c r="B897" s="385"/>
      <c r="C897" s="385"/>
      <c r="D897" s="1266"/>
      <c r="E897" s="1266"/>
      <c r="F897" s="1266"/>
      <c r="G897" s="3"/>
      <c r="I897" s="524"/>
    </row>
    <row r="898" spans="1:9" ht="12.7" customHeight="1">
      <c r="A898" s="172"/>
      <c r="B898" s="172"/>
      <c r="C898" s="172"/>
      <c r="D898" s="1266" t="s">
        <v>1964</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2638</v>
      </c>
      <c r="C901" s="175"/>
      <c r="D901" s="1276" t="s">
        <v>1962</v>
      </c>
      <c r="E901" s="1276"/>
      <c r="F901" s="1276"/>
      <c r="G901" s="1023"/>
      <c r="I901" s="524" t="s">
        <v>2106</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6" t="s">
        <v>1966</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3" t="s">
        <v>1967</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77" t="s">
        <v>2379</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77" t="s">
        <v>2380</v>
      </c>
      <c r="E920" s="1277"/>
      <c r="F920" s="1277"/>
      <c r="G920" s="1023"/>
      <c r="I920" s="524"/>
    </row>
    <row r="921" spans="1:9" ht="12.7" customHeight="1">
      <c r="A921" s="175"/>
      <c r="B921" s="175"/>
      <c r="C921" s="175"/>
      <c r="D921" s="2"/>
      <c r="E921" s="3"/>
      <c r="F921" s="1023"/>
      <c r="G921" s="1023"/>
      <c r="I921" s="524"/>
    </row>
    <row r="922" spans="1:9" ht="12.7" customHeight="1">
      <c r="A922" s="1032"/>
      <c r="B922" s="519" t="s">
        <v>2639</v>
      </c>
      <c r="C922" s="1033"/>
      <c r="D922" s="1276" t="s">
        <v>1963</v>
      </c>
      <c r="E922" s="1276"/>
      <c r="F922" s="1276"/>
      <c r="G922" s="1034"/>
      <c r="I922" s="524" t="s">
        <v>2156</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2638</v>
      </c>
      <c r="C932" s="175"/>
      <c r="D932" s="1332" t="s">
        <v>2158</v>
      </c>
      <c r="E932" s="1332"/>
      <c r="F932" s="1332"/>
      <c r="G932" s="1023"/>
      <c r="I932" s="524" t="s">
        <v>2156</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75" t="s">
        <v>2452</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3" t="s">
        <v>1968</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76" t="s">
        <v>2157</v>
      </c>
      <c r="E952" s="1276"/>
      <c r="F952" s="1276"/>
      <c r="G952" s="1023"/>
      <c r="I952" s="524" t="s">
        <v>2156</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1969</v>
      </c>
      <c r="E957" s="1282"/>
      <c r="F957" s="1282"/>
      <c r="G957" s="3"/>
      <c r="I957" s="524"/>
    </row>
    <row r="958" spans="1:9" ht="12.7" customHeight="1">
      <c r="A958" s="176"/>
      <c r="B958" s="519" t="s">
        <v>2639</v>
      </c>
      <c r="C958" s="385"/>
      <c r="D958" s="1277" t="s">
        <v>1993</v>
      </c>
      <c r="E958" s="1277"/>
      <c r="F958" s="1277"/>
      <c r="G958" s="3"/>
      <c r="I958" s="524" t="s">
        <v>2156</v>
      </c>
    </row>
    <row r="959" spans="1:9" ht="12.7" customHeight="1">
      <c r="A959" s="385"/>
      <c r="B959" s="385"/>
      <c r="C959" s="385"/>
      <c r="D959" s="3"/>
      <c r="E959" s="3"/>
      <c r="F959" s="3"/>
      <c r="G959" s="3"/>
      <c r="I959" s="524"/>
    </row>
    <row r="960" spans="1:9" ht="12.7" customHeight="1">
      <c r="A960" s="385"/>
      <c r="B960" s="385"/>
      <c r="C960" s="385"/>
      <c r="D960" s="1282" t="s">
        <v>1970</v>
      </c>
      <c r="E960" s="1282"/>
      <c r="F960" s="1282"/>
      <c r="G960"/>
      <c r="I960" s="524"/>
    </row>
    <row r="961" spans="1:9" ht="12.7" customHeight="1">
      <c r="A961" s="176"/>
      <c r="B961" s="519" t="s">
        <v>2639</v>
      </c>
      <c r="C961" s="385"/>
      <c r="D961" s="1266" t="s">
        <v>2381</v>
      </c>
      <c r="E961" s="1266"/>
      <c r="F961" s="1266"/>
      <c r="G961"/>
      <c r="I961" s="524" t="s">
        <v>2156</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1971</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1994</v>
      </c>
      <c r="E979" s="1282"/>
      <c r="F979" s="1282"/>
      <c r="G979" s="3"/>
      <c r="I979" s="524"/>
    </row>
    <row r="980" spans="1:9" ht="12.7" customHeight="1">
      <c r="A980" s="172"/>
      <c r="B980" s="172"/>
      <c r="C980" s="172"/>
      <c r="D980" s="1277" t="s">
        <v>1972</v>
      </c>
      <c r="E980" s="1277"/>
      <c r="F980" s="1277"/>
      <c r="G980" s="3"/>
      <c r="I980" s="524"/>
    </row>
    <row r="981" spans="1:9" ht="12.7" customHeight="1">
      <c r="A981" s="172"/>
      <c r="B981" s="172"/>
      <c r="C981" s="172"/>
      <c r="D981" s="3"/>
      <c r="E981" s="3"/>
      <c r="F981" s="1023"/>
      <c r="G981"/>
      <c r="I981" s="524"/>
    </row>
    <row r="982" spans="1:9" ht="12.7" customHeight="1">
      <c r="A982" s="385"/>
      <c r="B982" s="519" t="s">
        <v>2638</v>
      </c>
      <c r="C982" s="385"/>
      <c r="D982" s="1330" t="s">
        <v>2211</v>
      </c>
      <c r="E982" s="1330"/>
      <c r="F982" s="1330"/>
      <c r="G982"/>
      <c r="I982" s="524" t="s">
        <v>2136</v>
      </c>
    </row>
    <row r="983" spans="1:9" ht="12.7" customHeight="1">
      <c r="A983" s="385"/>
      <c r="B983" s="385"/>
      <c r="C983" s="385"/>
      <c r="D983" s="1330"/>
      <c r="E983" s="1330"/>
      <c r="F983" s="1330"/>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6" t="s">
        <v>1973</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2639</v>
      </c>
      <c r="C995" s="175"/>
      <c r="D995" s="1266" t="s">
        <v>1974</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2639</v>
      </c>
      <c r="C998" s="385"/>
      <c r="D998" s="1277" t="s">
        <v>1975</v>
      </c>
      <c r="E998" s="1277"/>
      <c r="F998" s="1277"/>
      <c r="G998"/>
      <c r="I998" s="524"/>
    </row>
    <row r="999" spans="1:9" ht="12.7" customHeight="1">
      <c r="A999" s="385"/>
      <c r="B999" s="385"/>
      <c r="C999" s="385"/>
      <c r="D999" s="3"/>
      <c r="E999" s="3"/>
      <c r="F999" s="3"/>
      <c r="G999"/>
      <c r="I999" s="524"/>
    </row>
    <row r="1000" spans="1:9" ht="12.7" customHeight="1">
      <c r="A1000" s="176"/>
      <c r="B1000" s="519" t="s">
        <v>2639</v>
      </c>
      <c r="C1000" s="385"/>
      <c r="D1000" s="1277" t="s">
        <v>1976</v>
      </c>
      <c r="E1000" s="1277"/>
      <c r="F1000" s="1277"/>
      <c r="G1000"/>
      <c r="I1000" s="524"/>
    </row>
    <row r="1001" spans="1:9" ht="12.7" customHeight="1">
      <c r="A1001" s="385"/>
      <c r="B1001" s="385"/>
      <c r="C1001" s="385"/>
      <c r="D1001" s="118"/>
      <c r="E1001" s="3"/>
      <c r="F1001" s="3"/>
      <c r="G1001"/>
      <c r="I1001" s="524"/>
    </row>
    <row r="1002" spans="1:9" ht="12.7" customHeight="1">
      <c r="A1002" s="176"/>
      <c r="B1002" s="519" t="s">
        <v>2638</v>
      </c>
      <c r="C1002" s="385"/>
      <c r="D1002" s="1277" t="s">
        <v>1977</v>
      </c>
      <c r="E1002" s="1277"/>
      <c r="F1002" s="1277"/>
      <c r="G1002"/>
      <c r="I1002" s="524"/>
    </row>
    <row r="1003" spans="1:9" ht="12.7" customHeight="1">
      <c r="A1003" s="385"/>
      <c r="B1003" s="385"/>
      <c r="C1003" s="385"/>
      <c r="D1003" s="118"/>
      <c r="E1003" s="3"/>
      <c r="F1003" s="3"/>
      <c r="G1003"/>
      <c r="I1003" s="524"/>
    </row>
    <row r="1004" spans="1:9" ht="12.7" customHeight="1">
      <c r="A1004" s="176"/>
      <c r="B1004" s="519" t="s">
        <v>2638</v>
      </c>
      <c r="C1004" s="385"/>
      <c r="D1004" s="1266" t="s">
        <v>1978</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306" t="s">
        <v>1979</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24" t="s">
        <v>1980</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77" t="s">
        <v>1981</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6" t="s">
        <v>1982</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1983</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1984</v>
      </c>
      <c r="E1019" s="1305"/>
      <c r="F1019" s="1305"/>
      <c r="G1019" s="3"/>
      <c r="I1019" s="524"/>
    </row>
    <row r="1020" spans="1:9" ht="12.7" customHeight="1">
      <c r="A1020" s="385"/>
      <c r="B1020" s="385"/>
      <c r="C1020" s="385"/>
      <c r="D1020" s="1324" t="s">
        <v>1985</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1999</v>
      </c>
      <c r="E1022" s="1305"/>
      <c r="F1022" s="1305"/>
      <c r="G1022" s="3"/>
      <c r="I1022" s="524" t="s">
        <v>2108</v>
      </c>
    </row>
    <row r="1023" spans="1:9" ht="12.7" customHeight="1">
      <c r="A1023" s="385"/>
      <c r="B1023" s="519" t="s">
        <v>2639</v>
      </c>
      <c r="C1023" s="385"/>
      <c r="D1023" s="1324" t="s">
        <v>1376</v>
      </c>
      <c r="E1023" s="1324"/>
      <c r="F1023" s="1324"/>
      <c r="G1023" s="3"/>
      <c r="I1023" s="524"/>
    </row>
    <row r="1024" spans="1:9" ht="12.7" customHeight="1">
      <c r="A1024" s="385"/>
      <c r="B1024" s="176"/>
      <c r="C1024" s="385"/>
      <c r="D1024" s="1324" t="s">
        <v>1986</v>
      </c>
      <c r="E1024" s="1324"/>
      <c r="F1024" s="1324"/>
      <c r="G1024" s="3"/>
      <c r="I1024" s="524"/>
    </row>
    <row r="1025" spans="1:9" ht="12.7" customHeight="1">
      <c r="A1025" s="385"/>
      <c r="B1025" s="385"/>
      <c r="C1025" s="385"/>
      <c r="D1025" s="1324"/>
      <c r="E1025" s="1324"/>
      <c r="F1025" s="1324"/>
      <c r="G1025" s="3"/>
      <c r="I1025" s="524"/>
    </row>
    <row r="1026" spans="1:9" ht="12.7" customHeight="1">
      <c r="A1026" s="1311" t="s">
        <v>1995</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1377</v>
      </c>
      <c r="E1028" s="1313"/>
      <c r="F1028" s="1313"/>
      <c r="G1028" s="3"/>
      <c r="I1028" s="524"/>
    </row>
    <row r="1029" spans="1:9" ht="12.7" hidden="1" customHeight="1">
      <c r="A1029" s="118"/>
      <c r="B1029" s="519" t="s">
        <v>307</v>
      </c>
      <c r="D1029" s="1315" t="s">
        <v>1376</v>
      </c>
      <c r="E1029" s="1315"/>
      <c r="F1029" s="1315"/>
      <c r="G1029" s="3"/>
      <c r="I1029" s="524"/>
    </row>
    <row r="1030" spans="1:9" ht="12.7" hidden="1" customHeight="1">
      <c r="A1030" s="118"/>
      <c r="B1030" s="433"/>
      <c r="D1030" s="1315" t="s">
        <v>1996</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1092</v>
      </c>
      <c r="E1032" s="1325"/>
      <c r="F1032" s="1325"/>
      <c r="G1032" s="3"/>
      <c r="I1032" s="524" t="s">
        <v>2137</v>
      </c>
    </row>
    <row r="1033" spans="1:9" ht="12.7" customHeight="1">
      <c r="A1033" s="345"/>
      <c r="B1033" s="345"/>
      <c r="C1033" s="345"/>
      <c r="D1033" s="1309" t="s">
        <v>1109</v>
      </c>
      <c r="E1033" s="1309"/>
      <c r="F1033" s="1309"/>
      <c r="G1033" s="98"/>
      <c r="I1033" s="524"/>
    </row>
    <row r="1034" spans="1:9" ht="12.7" customHeight="1">
      <c r="A1034" s="176"/>
      <c r="B1034" s="519" t="s">
        <v>2639</v>
      </c>
      <c r="C1034" s="385"/>
      <c r="D1034" s="1309" t="s">
        <v>1002</v>
      </c>
      <c r="E1034" s="1309"/>
      <c r="F1034" s="1309"/>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311" t="s">
        <v>2016</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27" t="s">
        <v>2000</v>
      </c>
      <c r="E1042" s="1327"/>
      <c r="F1042" s="1327"/>
      <c r="I1042" s="524" t="s">
        <v>2109</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27" t="s">
        <v>2004</v>
      </c>
      <c r="E1052" s="1327"/>
      <c r="F1052" s="1327"/>
      <c r="I1052" s="524" t="s">
        <v>2111</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2005</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2638</v>
      </c>
      <c r="C1067" s="433"/>
      <c r="D1067" s="119" t="s">
        <v>2014</v>
      </c>
      <c r="I1067" s="524" t="s">
        <v>2114</v>
      </c>
    </row>
    <row r="1068" spans="1:9">
      <c r="A1068" s="433"/>
      <c r="B1068" s="433"/>
      <c r="C1068" s="433"/>
      <c r="D1068" s="1266" t="s">
        <v>2015</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26" t="s">
        <v>2007</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2012</v>
      </c>
      <c r="I1080" s="524"/>
    </row>
    <row r="1081" spans="1:9">
      <c r="A1081" s="433"/>
      <c r="B1081" s="433"/>
      <c r="C1081" s="433"/>
      <c r="I1081" s="524"/>
    </row>
    <row r="1082" spans="1:9">
      <c r="A1082" s="1311" t="s">
        <v>2017</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28" t="s">
        <v>2225</v>
      </c>
      <c r="E1085" s="1328"/>
      <c r="F1085" s="1328"/>
      <c r="I1085" s="524" t="s">
        <v>2116</v>
      </c>
    </row>
    <row r="1086" spans="1:9">
      <c r="A1086" s="433"/>
      <c r="B1086" s="433"/>
      <c r="C1086" s="433"/>
      <c r="D1086" s="1328"/>
      <c r="E1086" s="1328"/>
      <c r="F1086" s="1328"/>
      <c r="I1086" s="524"/>
    </row>
    <row r="1087" spans="1:9">
      <c r="A1087" s="433"/>
      <c r="B1087" s="433"/>
      <c r="C1087" s="433"/>
      <c r="D1087" s="1329" t="s">
        <v>2498</v>
      </c>
      <c r="E1087" s="1266"/>
      <c r="F1087" s="1266"/>
      <c r="I1087" s="524"/>
    </row>
    <row r="1088" spans="1:9">
      <c r="A1088" s="433"/>
      <c r="B1088" s="433"/>
      <c r="C1088" s="433"/>
      <c r="D1088" s="561"/>
      <c r="I1088" s="524"/>
    </row>
    <row r="1089" spans="1:9">
      <c r="A1089" s="433"/>
      <c r="B1089" s="519" t="s">
        <v>2639</v>
      </c>
      <c r="C1089" s="433"/>
      <c r="D1089" s="1326" t="s">
        <v>2018</v>
      </c>
      <c r="E1089" s="1326"/>
      <c r="F1089" s="1326"/>
      <c r="I1089" s="524" t="s">
        <v>2117</v>
      </c>
    </row>
    <row r="1090" spans="1:9">
      <c r="A1090" s="433"/>
      <c r="B1090" s="433"/>
      <c r="C1090" s="433"/>
      <c r="D1090" s="1326"/>
      <c r="E1090" s="1326"/>
      <c r="F1090" s="1326"/>
      <c r="I1090" s="524"/>
    </row>
    <row r="1091" spans="1:9">
      <c r="A1091" s="433"/>
      <c r="B1091" s="433"/>
      <c r="C1091" s="433"/>
      <c r="D1091" s="561"/>
      <c r="I1091" s="524"/>
    </row>
    <row r="1092" spans="1:9">
      <c r="A1092" s="433"/>
      <c r="B1092" s="519" t="s">
        <v>2639</v>
      </c>
      <c r="C1092" s="433"/>
      <c r="D1092" s="1326" t="s">
        <v>2161</v>
      </c>
      <c r="E1092" s="1326"/>
      <c r="F1092" s="1326"/>
      <c r="I1092" s="524" t="s">
        <v>2159</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2160</v>
      </c>
      <c r="I1098" s="514"/>
    </row>
    <row r="1099" spans="1:9">
      <c r="A1099" s="433"/>
      <c r="B1099" s="519" t="s">
        <v>2639</v>
      </c>
      <c r="C1099" s="433"/>
      <c r="D1099" s="1326" t="s">
        <v>2019</v>
      </c>
      <c r="E1099" s="1326"/>
      <c r="F1099" s="1326"/>
      <c r="I1099" s="524" t="s">
        <v>2118</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6" t="s">
        <v>2164</v>
      </c>
      <c r="E1107" s="1266"/>
      <c r="F1107" s="1266"/>
      <c r="I1107" s="524" t="s">
        <v>2163</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05" zoomScaleNormal="105"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43" t="s">
        <v>100</v>
      </c>
      <c r="B8" s="1443"/>
      <c r="C8" s="1443"/>
      <c r="D8" s="1443"/>
      <c r="E8" s="1443"/>
      <c r="F8" s="1443"/>
      <c r="G8" s="1443"/>
      <c r="H8" s="1443"/>
      <c r="I8" s="1443"/>
      <c r="J8" s="1443"/>
      <c r="K8" s="1443"/>
      <c r="L8" s="1443"/>
      <c r="M8" s="1443"/>
      <c r="N8" s="1443"/>
      <c r="O8" s="1443"/>
      <c r="P8" s="1443"/>
      <c r="Q8" s="1443"/>
      <c r="R8" s="1443"/>
      <c r="S8" s="1443"/>
      <c r="T8" s="1443"/>
      <c r="U8" s="1443"/>
      <c r="V8" s="1443"/>
      <c r="W8" s="1443"/>
      <c r="X8" s="1443"/>
      <c r="Y8" s="1443"/>
      <c r="Z8" s="1443"/>
      <c r="AA8" s="1443"/>
      <c r="AB8" s="1443"/>
      <c r="AC8" s="1443"/>
      <c r="AD8" s="1443"/>
      <c r="AE8" s="1443"/>
      <c r="AF8" s="1443"/>
      <c r="AG8" s="1443"/>
      <c r="AH8" s="1443"/>
      <c r="AI8" s="1443"/>
      <c r="AJ8" s="1443"/>
      <c r="AK8" s="1443"/>
      <c r="AL8" s="1443"/>
      <c r="AM8" s="1443"/>
      <c r="AN8" s="1443"/>
      <c r="AO8" s="1443"/>
      <c r="AP8" s="1443"/>
      <c r="AQ8" s="1443"/>
      <c r="AR8" s="1443"/>
      <c r="AS8" s="1443"/>
      <c r="AT8" s="1443"/>
      <c r="AU8" s="933"/>
      <c r="AV8" s="933"/>
      <c r="AW8" s="933"/>
      <c r="AX8" s="933"/>
      <c r="AY8" s="933"/>
    </row>
    <row r="9" spans="1:51" ht="12.95" customHeight="1">
      <c r="A9" s="1302" t="s">
        <v>2388</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2577</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1766</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4" t="s">
        <v>2636</v>
      </c>
      <c r="B12" s="1444"/>
      <c r="C12" s="1444"/>
      <c r="D12" s="1444"/>
      <c r="E12" s="1444"/>
      <c r="F12" s="1444"/>
      <c r="G12" s="1444"/>
      <c r="H12" s="1444"/>
      <c r="I12" s="1444"/>
      <c r="J12" s="1444"/>
      <c r="K12" s="1444"/>
      <c r="L12" s="1444"/>
      <c r="M12" s="1444"/>
      <c r="N12" s="1444"/>
      <c r="O12" s="1444"/>
      <c r="P12" s="1444"/>
      <c r="Q12" s="1444"/>
      <c r="R12" s="1444"/>
      <c r="S12" s="1444"/>
      <c r="T12" s="1444"/>
      <c r="U12" s="1444"/>
      <c r="V12" s="1444"/>
      <c r="W12" s="1444"/>
      <c r="X12" s="1444"/>
      <c r="Y12" s="1444"/>
      <c r="Z12" s="1444"/>
      <c r="AA12" s="1444"/>
      <c r="AB12" s="1444"/>
      <c r="AC12" s="1444"/>
      <c r="AD12" s="1444"/>
      <c r="AE12" s="1444"/>
      <c r="AF12" s="1444"/>
      <c r="AG12" s="1444"/>
      <c r="AH12" s="1444"/>
      <c r="AI12" s="1444"/>
      <c r="AJ12" s="1444"/>
      <c r="AK12" s="1444"/>
      <c r="AL12" s="1444"/>
      <c r="AM12" s="1444"/>
      <c r="AN12" s="1444"/>
      <c r="AO12" s="1444"/>
      <c r="AP12" s="1444"/>
      <c r="AQ12" s="1444"/>
      <c r="AR12" s="1444"/>
      <c r="AS12" s="1444"/>
      <c r="AT12" s="1444"/>
      <c r="AU12" s="6"/>
      <c r="AV12" s="6"/>
      <c r="AW12" s="6"/>
      <c r="AX12" s="6"/>
      <c r="AY12" s="6"/>
    </row>
    <row r="13" spans="1:51" ht="12.95" customHeight="1">
      <c r="A13" s="1264" t="s">
        <v>2389</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401" t="s">
        <v>2749</v>
      </c>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row>
    <row r="17" spans="1:52" ht="12.95" customHeight="1"/>
    <row r="18" spans="1:52" ht="12.95" customHeight="1">
      <c r="A18" s="57" t="s">
        <v>101</v>
      </c>
      <c r="C18" s="4"/>
      <c r="D18" s="4"/>
      <c r="E18" s="4"/>
      <c r="F18" s="4"/>
      <c r="G18" s="4"/>
      <c r="H18" s="1398" t="s">
        <v>2750</v>
      </c>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row>
    <row r="19" spans="1:52" ht="12.95" customHeight="1"/>
    <row r="20" spans="1:52" ht="12.95" customHeight="1">
      <c r="A20" s="1445" t="s">
        <v>882</v>
      </c>
      <c r="B20" s="1445"/>
      <c r="C20" s="1445"/>
      <c r="D20" s="1445"/>
      <c r="E20" s="1445"/>
      <c r="F20" s="1445"/>
      <c r="G20" s="1445"/>
      <c r="H20" s="1445"/>
      <c r="I20" s="1445"/>
      <c r="J20" s="1445"/>
      <c r="K20" s="1445"/>
      <c r="L20" s="1445"/>
      <c r="M20" s="1445"/>
      <c r="N20" s="1445"/>
      <c r="O20" s="1445"/>
      <c r="P20" s="1445"/>
      <c r="Q20" s="1445"/>
      <c r="R20" s="1445"/>
      <c r="S20" s="1445"/>
      <c r="T20" s="1445"/>
      <c r="U20" s="1445"/>
      <c r="V20" s="1445"/>
      <c r="W20" s="1445"/>
      <c r="X20" s="1445"/>
      <c r="Y20" s="1445"/>
      <c r="Z20" s="1445"/>
      <c r="AA20" s="1445"/>
      <c r="AB20" s="1445"/>
      <c r="AC20" s="1445"/>
      <c r="AD20" s="1445"/>
      <c r="AE20" s="1445"/>
      <c r="AF20" s="1445"/>
      <c r="AG20" s="1445"/>
      <c r="AH20" s="1445"/>
      <c r="AI20" s="1445"/>
      <c r="AJ20" s="1445"/>
      <c r="AK20" s="1445"/>
      <c r="AL20" s="1445"/>
      <c r="AM20" s="1445"/>
      <c r="AN20" s="1445"/>
      <c r="AO20" s="1445"/>
      <c r="AP20" s="1445"/>
      <c r="AQ20" s="1445"/>
      <c r="AR20" s="1445"/>
      <c r="AS20" s="1445"/>
      <c r="AT20" s="1445"/>
      <c r="AU20" s="935"/>
      <c r="AV20" s="935"/>
      <c r="AW20" s="935"/>
      <c r="AX20" s="935"/>
      <c r="AY20" s="935"/>
    </row>
    <row r="21" spans="1:52" ht="12.95" customHeight="1">
      <c r="A21" s="1403" t="s">
        <v>1030</v>
      </c>
      <c r="B21" s="1403"/>
      <c r="C21" s="1403"/>
      <c r="D21" s="1403"/>
      <c r="E21" s="1403"/>
      <c r="F21" s="1403"/>
      <c r="G21" s="1403"/>
      <c r="H21" s="1403"/>
      <c r="I21" s="1403"/>
      <c r="J21" s="1403"/>
      <c r="K21" s="1403"/>
      <c r="L21" s="1403"/>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2502</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0">
        <f>'Basis &amp; Credits'!AB56</f>
        <v>7544820</v>
      </c>
      <c r="N26" s="1400"/>
      <c r="O26" s="1400"/>
      <c r="P26" s="1400"/>
      <c r="Q26" s="1400"/>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9" t="s">
        <v>2503</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2.95"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2.95"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79" t="s">
        <v>675</v>
      </c>
      <c r="P33" s="1379"/>
      <c r="Q33" s="1446" t="s">
        <v>2504</v>
      </c>
      <c r="R33" s="1446"/>
      <c r="S33" s="1446"/>
      <c r="T33" s="1446"/>
      <c r="U33" s="1446"/>
      <c r="V33" s="1446"/>
      <c r="W33" s="1446"/>
      <c r="X33" s="1446"/>
      <c r="Y33" s="1446"/>
      <c r="Z33" s="1446"/>
      <c r="AA33" s="1446"/>
      <c r="AB33" s="1446"/>
      <c r="AC33" s="1446"/>
      <c r="AD33" s="1446"/>
      <c r="AE33" s="1446"/>
      <c r="AF33" s="1446"/>
      <c r="AG33" s="1446"/>
      <c r="AH33" s="1446"/>
      <c r="AI33" s="1446"/>
      <c r="AJ33" s="1446"/>
      <c r="AK33" s="1446"/>
      <c r="AL33" s="1446"/>
      <c r="AM33" s="1446"/>
      <c r="AN33" s="1446"/>
      <c r="AO33" s="1446"/>
      <c r="AP33" s="1446"/>
      <c r="AQ33" s="1446"/>
      <c r="AR33" s="1446"/>
      <c r="AS33" s="1446"/>
      <c r="AT33" s="1446"/>
      <c r="AU33" s="20"/>
      <c r="AV33" s="20"/>
      <c r="AW33" s="20"/>
      <c r="AX33" s="20"/>
      <c r="AY33" s="20"/>
    </row>
    <row r="34" spans="1:52" ht="12.95" customHeight="1">
      <c r="A34" s="1439" t="s">
        <v>2505</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2.95"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2.95"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2.95"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2.95" customHeight="1">
      <c r="A38" s="3"/>
      <c r="AZ38" s="20"/>
    </row>
    <row r="39" spans="1:52" ht="12.95" customHeight="1">
      <c r="A39" s="1266" t="s">
        <v>2506</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2507</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2508</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2509</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2510</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2512</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2513</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9" t="s">
        <v>2514</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2.95"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3" t="s">
        <v>2515</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2.95"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2.95"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2516</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2517</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2518</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2" t="s">
        <v>2519</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2.95"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3" t="s">
        <v>2520</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2.95"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2.95"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2.95"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2.95"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2.95"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2.95"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2521</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2522</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4"/>
      <c r="H113" s="1774"/>
      <c r="I113" s="3" t="s">
        <v>181</v>
      </c>
      <c r="L113" s="1774"/>
      <c r="M113" s="1774"/>
      <c r="N113" s="1774"/>
      <c r="O113" s="1774"/>
      <c r="P113" s="1795" t="s">
        <v>2524</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0" t="s">
        <v>2640</v>
      </c>
      <c r="D115" s="1800"/>
      <c r="E115" s="1800"/>
      <c r="F115" s="1800"/>
      <c r="G115" s="1800"/>
      <c r="H115" s="1800"/>
      <c r="I115" s="1800"/>
      <c r="J115" s="1800"/>
      <c r="K115" s="180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774"/>
      <c r="Z117" s="1774"/>
      <c r="AA117" s="1774"/>
      <c r="AB117" s="1774"/>
      <c r="AC117" s="1774"/>
      <c r="AD117" s="1774"/>
      <c r="AE117" s="1774"/>
      <c r="AF117" s="1774"/>
      <c r="AG117" s="1774"/>
      <c r="AH117" s="1774"/>
      <c r="AI117" s="1774"/>
      <c r="AJ117" s="1774"/>
      <c r="AK117" s="1774"/>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4" t="s">
        <v>2642</v>
      </c>
      <c r="Z120" s="1774"/>
      <c r="AA120" s="1774"/>
      <c r="AB120" s="1774"/>
      <c r="AC120" s="1774"/>
      <c r="AD120" s="1774"/>
      <c r="AE120" s="1774"/>
      <c r="AF120" s="1774"/>
      <c r="AG120" s="1774"/>
      <c r="AH120" s="1774"/>
      <c r="AI120" s="1774"/>
      <c r="AJ120" s="1774"/>
      <c r="AK120" s="177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4" t="s">
        <v>2643</v>
      </c>
      <c r="Z123" s="1774"/>
      <c r="AA123" s="1774"/>
      <c r="AB123" s="1774"/>
      <c r="AC123" s="1774"/>
      <c r="AD123" s="1774"/>
      <c r="AE123" s="1774"/>
      <c r="AF123" s="1774"/>
      <c r="AG123" s="1774"/>
      <c r="AH123" s="1774"/>
      <c r="AI123" s="1774"/>
      <c r="AJ123" s="1774"/>
      <c r="AK123" s="177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398" t="s">
        <v>2751</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2.95" customHeight="1">
      <c r="D154" s="325" t="s">
        <v>441</v>
      </c>
      <c r="O154" s="1593" t="s">
        <v>2752</v>
      </c>
      <c r="P154" s="1465"/>
      <c r="Q154" s="1465"/>
      <c r="R154" s="1465"/>
      <c r="S154" s="1465"/>
      <c r="T154" s="1465"/>
      <c r="U154" s="1465"/>
      <c r="V154" s="1465"/>
      <c r="W154" s="1465"/>
      <c r="X154" s="1465"/>
      <c r="Y154" s="1465"/>
      <c r="Z154" s="1465"/>
      <c r="AA154" s="1465"/>
      <c r="AB154" s="1465"/>
      <c r="AC154" s="1465"/>
      <c r="AD154" s="1465"/>
      <c r="AE154" s="1465"/>
      <c r="AF154" s="1465"/>
      <c r="AG154" s="1465"/>
      <c r="AH154" s="1465"/>
    </row>
    <row r="155" spans="1:72" ht="12.95" customHeight="1">
      <c r="D155" s="8" t="s">
        <v>442</v>
      </c>
      <c r="F155" s="8"/>
      <c r="G155" s="8"/>
      <c r="H155" s="8"/>
      <c r="I155" s="8"/>
      <c r="J155" s="8"/>
      <c r="K155" s="8"/>
      <c r="L155" s="8"/>
      <c r="M155" s="8"/>
      <c r="N155" s="8"/>
      <c r="O155" s="1790" t="s">
        <v>2753</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2.95" customHeight="1">
      <c r="D156" t="s">
        <v>313</v>
      </c>
      <c r="O156" s="1380" t="s">
        <v>2754</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398" t="s">
        <v>2755</v>
      </c>
      <c r="P157" s="1399"/>
      <c r="Q157" s="1399"/>
      <c r="R157" s="1399"/>
      <c r="S157" s="1399"/>
      <c r="T157" s="1399"/>
      <c r="U157" s="1399"/>
      <c r="V157" s="1399"/>
      <c r="W157" s="1399"/>
      <c r="X157" s="1399"/>
      <c r="Y157" s="8"/>
      <c r="Z157" s="8"/>
      <c r="AA157" s="8"/>
      <c r="AB157" s="8"/>
      <c r="AC157" s="8"/>
      <c r="AD157" s="8"/>
      <c r="AE157" s="8"/>
      <c r="AF157" s="8"/>
      <c r="BN157" s="23" t="s">
        <v>642</v>
      </c>
      <c r="BT157" t="s">
        <v>483</v>
      </c>
    </row>
    <row r="158" spans="1:72" ht="12.95" customHeight="1">
      <c r="D158" t="s">
        <v>315</v>
      </c>
      <c r="O158" s="1776">
        <v>94577</v>
      </c>
      <c r="P158" s="1776"/>
      <c r="Q158" s="1776"/>
      <c r="R158" s="1776"/>
      <c r="S158" s="9"/>
      <c r="T158" s="9"/>
      <c r="U158" s="9"/>
      <c r="V158" s="9"/>
      <c r="W158" s="9"/>
      <c r="X158" s="9"/>
      <c r="Y158" s="9"/>
      <c r="Z158" s="9"/>
      <c r="AA158" s="9"/>
      <c r="AB158" s="9"/>
      <c r="AC158" s="9"/>
      <c r="AD158" s="9"/>
      <c r="AE158" s="9"/>
      <c r="AF158" s="9"/>
      <c r="BN158" s="23" t="s">
        <v>643</v>
      </c>
      <c r="BT158" t="s">
        <v>484</v>
      </c>
    </row>
    <row r="159" spans="1:72" ht="12.95" customHeight="1">
      <c r="D159" t="s">
        <v>316</v>
      </c>
      <c r="O159" s="1778" t="s">
        <v>2756</v>
      </c>
      <c r="P159" s="1778"/>
      <c r="Q159" s="1778"/>
      <c r="R159" s="1778"/>
      <c r="S159" s="1778"/>
      <c r="T159" s="1778"/>
      <c r="V159" s="97" t="s">
        <v>271</v>
      </c>
      <c r="W159" s="1777"/>
      <c r="X159" s="1777"/>
      <c r="Y159" s="10"/>
      <c r="Z159" s="10"/>
      <c r="AA159" s="10"/>
      <c r="AB159" s="10"/>
      <c r="AC159" s="10"/>
      <c r="AD159" s="10"/>
      <c r="AE159" s="10"/>
      <c r="AF159" s="10"/>
      <c r="BN159" s="23" t="s">
        <v>339</v>
      </c>
      <c r="BT159" t="s">
        <v>485</v>
      </c>
    </row>
    <row r="160" spans="1:72" ht="12.95" customHeight="1">
      <c r="D160" t="s">
        <v>317</v>
      </c>
      <c r="O160" s="1778"/>
      <c r="P160" s="1778"/>
      <c r="Q160" s="1778"/>
      <c r="R160" s="1778"/>
      <c r="S160" s="1778"/>
      <c r="T160" s="1778"/>
      <c r="U160" s="10"/>
      <c r="V160" s="10"/>
      <c r="W160" s="10"/>
      <c r="X160" s="10"/>
      <c r="Y160" s="10"/>
      <c r="Z160" s="10"/>
      <c r="AA160" s="10"/>
      <c r="AB160" s="10"/>
      <c r="AC160" s="10"/>
      <c r="AD160" s="10"/>
      <c r="AE160" s="10"/>
      <c r="AF160" s="10"/>
      <c r="BN160" s="23" t="s">
        <v>666</v>
      </c>
      <c r="BT160" t="s">
        <v>486</v>
      </c>
    </row>
    <row r="161" spans="1:72" ht="12.95" customHeight="1">
      <c r="D161" t="s">
        <v>318</v>
      </c>
      <c r="O161" s="1770" t="s">
        <v>2757</v>
      </c>
      <c r="P161" s="1770"/>
      <c r="Q161" s="1770"/>
      <c r="R161" s="1770"/>
      <c r="S161" s="1770"/>
      <c r="T161" s="1770"/>
      <c r="U161" s="1770"/>
      <c r="V161" s="1770"/>
      <c r="W161" s="1770"/>
      <c r="X161" s="1770"/>
      <c r="Y161" s="1770"/>
      <c r="Z161" s="1770"/>
      <c r="AA161" s="1770"/>
      <c r="AB161" s="1770"/>
      <c r="AC161" s="1770"/>
      <c r="AD161" s="1770"/>
      <c r="AE161" s="1770"/>
      <c r="AF161" s="1770"/>
      <c r="AG161" s="1770"/>
      <c r="AH161" s="1770"/>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801" t="s">
        <v>2619</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440" t="s">
        <v>546</v>
      </c>
      <c r="B169" s="1440"/>
      <c r="C169" s="1440"/>
      <c r="D169" s="1440"/>
      <c r="E169" s="1440"/>
      <c r="F169" s="1440"/>
      <c r="G169" s="1440"/>
      <c r="H169" s="1440"/>
      <c r="I169" s="1440"/>
      <c r="J169" s="1440"/>
      <c r="K169" s="1440"/>
      <c r="L169" s="1440"/>
      <c r="M169" s="1440"/>
      <c r="N169" s="1440"/>
      <c r="O169" s="1440"/>
      <c r="P169" s="1440"/>
      <c r="Q169" s="1440"/>
      <c r="R169" s="1440"/>
      <c r="S169" s="1440"/>
      <c r="T169" s="1440"/>
      <c r="U169" s="1440"/>
      <c r="V169" s="1440"/>
      <c r="W169" s="1440"/>
      <c r="X169" s="1440"/>
      <c r="Y169" s="1440"/>
      <c r="Z169" s="1440"/>
      <c r="AA169" s="1440"/>
      <c r="AB169" s="1440"/>
      <c r="AC169" s="1440"/>
      <c r="AD169" s="1440"/>
      <c r="AE169" s="1440"/>
      <c r="AF169" s="1440"/>
      <c r="AG169" s="1440"/>
      <c r="AH169" s="1440"/>
      <c r="AI169" s="1440"/>
      <c r="AJ169" s="1440"/>
      <c r="AK169" s="1440"/>
      <c r="AL169" s="1440"/>
      <c r="AM169" s="1440"/>
      <c r="AN169" s="1440"/>
      <c r="AO169" s="1440"/>
      <c r="AP169" s="1440"/>
      <c r="AQ169" s="1440"/>
      <c r="AR169" s="1440"/>
      <c r="AS169" s="1440"/>
      <c r="AT169" s="1440"/>
      <c r="AU169" s="95"/>
      <c r="AV169" s="95"/>
      <c r="AW169" s="95"/>
      <c r="AX169" s="95"/>
      <c r="AY169" s="95"/>
      <c r="BN169" s="23" t="s">
        <v>679</v>
      </c>
      <c r="BT169" t="s">
        <v>495</v>
      </c>
    </row>
    <row r="170" spans="1:72" ht="12.95" customHeight="1">
      <c r="A170" s="1440"/>
      <c r="B170" s="1440"/>
      <c r="C170" s="1440"/>
      <c r="D170" s="1440"/>
      <c r="E170" s="1440"/>
      <c r="F170" s="1440"/>
      <c r="G170" s="1440"/>
      <c r="H170" s="1440"/>
      <c r="I170" s="1440"/>
      <c r="J170" s="1440"/>
      <c r="K170" s="1440"/>
      <c r="L170" s="1440"/>
      <c r="M170" s="1440"/>
      <c r="N170" s="1440"/>
      <c r="O170" s="1440"/>
      <c r="P170" s="1440"/>
      <c r="Q170" s="1440"/>
      <c r="R170" s="1440"/>
      <c r="S170" s="1440"/>
      <c r="T170" s="1440"/>
      <c r="U170" s="1440"/>
      <c r="V170" s="1440"/>
      <c r="W170" s="1440"/>
      <c r="X170" s="1440"/>
      <c r="Y170" s="1440"/>
      <c r="Z170" s="1440"/>
      <c r="AA170" s="1440"/>
      <c r="AB170" s="1440"/>
      <c r="AC170" s="1440"/>
      <c r="AD170" s="1440"/>
      <c r="AE170" s="1440"/>
      <c r="AF170" s="1440"/>
      <c r="AG170" s="1440"/>
      <c r="AH170" s="1440"/>
      <c r="AI170" s="1440"/>
      <c r="AJ170" s="1440"/>
      <c r="AK170" s="1440"/>
      <c r="AL170" s="1440"/>
      <c r="AM170" s="1440"/>
      <c r="AN170" s="1440"/>
      <c r="AO170" s="1440"/>
      <c r="AP170" s="1440"/>
      <c r="AQ170" s="1440"/>
      <c r="AR170" s="1440"/>
      <c r="AS170" s="1440"/>
      <c r="AT170" s="1440"/>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89" t="s">
        <v>371</v>
      </c>
      <c r="K173" s="1789"/>
      <c r="L173" s="1789"/>
      <c r="M173" s="1789"/>
      <c r="N173" s="1789"/>
      <c r="O173" s="1789"/>
      <c r="P173" s="1789"/>
      <c r="Q173" s="1789"/>
      <c r="R173" s="1789"/>
      <c r="S173" s="1789"/>
      <c r="U173" s="25"/>
      <c r="X173" s="25"/>
      <c r="BB173" s="3" t="s">
        <v>307</v>
      </c>
      <c r="BN173" s="23" t="s">
        <v>214</v>
      </c>
      <c r="BT173" t="s">
        <v>499</v>
      </c>
    </row>
    <row r="174" spans="1:72" ht="12.95" customHeight="1">
      <c r="C174" s="24"/>
      <c r="D174" s="3" t="s">
        <v>1305</v>
      </c>
      <c r="J174" s="1380" t="s">
        <v>2416</v>
      </c>
      <c r="K174" s="1380"/>
      <c r="L174" s="1380"/>
      <c r="M174" s="1380"/>
      <c r="N174" s="1380"/>
      <c r="O174" s="1380"/>
      <c r="P174" s="1380"/>
      <c r="Q174" s="1380"/>
      <c r="R174" s="1380"/>
      <c r="S174" s="1380"/>
      <c r="T174" s="1380"/>
      <c r="U174" s="1380"/>
      <c r="V174" s="1380"/>
      <c r="W174" s="1380"/>
      <c r="X174" s="1380"/>
      <c r="Y174" s="1380"/>
      <c r="Z174" s="1380"/>
      <c r="AA174" s="1380"/>
      <c r="AB174" s="1380"/>
      <c r="BB174" t="s">
        <v>2269</v>
      </c>
      <c r="BN174" s="23" t="s">
        <v>216</v>
      </c>
      <c r="BT174" t="s">
        <v>500</v>
      </c>
    </row>
    <row r="175" spans="1:72" ht="12.95" customHeight="1">
      <c r="C175" s="8"/>
      <c r="D175" s="3" t="s">
        <v>322</v>
      </c>
      <c r="O175" s="27"/>
      <c r="U175" s="1379" t="s">
        <v>675</v>
      </c>
      <c r="V175" s="1379"/>
      <c r="BB175" t="s">
        <v>2233</v>
      </c>
      <c r="BN175" s="23" t="s">
        <v>217</v>
      </c>
      <c r="BT175" t="s">
        <v>501</v>
      </c>
    </row>
    <row r="176" spans="1:72" ht="12.95" customHeight="1">
      <c r="C176" s="8"/>
      <c r="D176" s="26"/>
      <c r="E176" t="s">
        <v>304</v>
      </c>
      <c r="O176" s="27"/>
      <c r="P176" t="s">
        <v>2391</v>
      </c>
      <c r="T176" s="27" t="s">
        <v>305</v>
      </c>
      <c r="U176" s="1460"/>
      <c r="V176" s="1460"/>
      <c r="W176" s="1" t="s">
        <v>306</v>
      </c>
      <c r="X176" s="1794"/>
      <c r="Y176" s="1794"/>
      <c r="BB176" t="s">
        <v>2270</v>
      </c>
      <c r="BN176" s="23" t="s">
        <v>219</v>
      </c>
      <c r="BT176" t="s">
        <v>502</v>
      </c>
    </row>
    <row r="177" spans="1:72" ht="12.95" customHeight="1">
      <c r="C177" s="24"/>
      <c r="D177" t="s">
        <v>249</v>
      </c>
      <c r="R177" s="1379" t="s">
        <v>675</v>
      </c>
      <c r="S177" s="1379"/>
      <c r="BB177" t="s">
        <v>2573</v>
      </c>
      <c r="BN177" s="23" t="s">
        <v>220</v>
      </c>
      <c r="BT177" t="s">
        <v>503</v>
      </c>
    </row>
    <row r="178" spans="1:72" ht="12.95" customHeight="1">
      <c r="C178" s="24"/>
      <c r="D178" s="3" t="s">
        <v>1306</v>
      </c>
      <c r="AA178" t="s">
        <v>2391</v>
      </c>
      <c r="AE178" s="27" t="s">
        <v>305</v>
      </c>
      <c r="AF178" s="1783"/>
      <c r="AG178" s="1783"/>
      <c r="AH178" s="1" t="s">
        <v>306</v>
      </c>
      <c r="AI178" s="1669"/>
      <c r="AJ178" s="1669"/>
      <c r="AK178" s="1669"/>
      <c r="BB178" t="s">
        <v>2574</v>
      </c>
      <c r="BN178" s="23" t="s">
        <v>221</v>
      </c>
      <c r="BT178" t="s">
        <v>53</v>
      </c>
    </row>
    <row r="179" spans="1:72" ht="12.95" customHeight="1">
      <c r="C179" s="24"/>
      <c r="BN179" s="23" t="s">
        <v>222</v>
      </c>
      <c r="BT179" t="s">
        <v>54</v>
      </c>
    </row>
    <row r="180" spans="1:72" ht="12.95" customHeight="1">
      <c r="C180" s="24"/>
      <c r="D180" t="s">
        <v>2392</v>
      </c>
      <c r="X180" s="1379" t="s">
        <v>675</v>
      </c>
      <c r="Y180" s="1379"/>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56" t="str">
        <f>H18</f>
        <v>Bay Fair Apartments</v>
      </c>
      <c r="J184" s="1456"/>
      <c r="K184" s="1456"/>
      <c r="L184" s="1456"/>
      <c r="M184" s="1456"/>
      <c r="N184" s="1456"/>
      <c r="O184" s="1456"/>
      <c r="P184" s="1456"/>
      <c r="Q184" s="1456"/>
      <c r="R184" s="1456"/>
      <c r="S184" s="1456"/>
      <c r="T184" s="1456"/>
      <c r="U184" s="1456"/>
      <c r="V184" s="1456"/>
      <c r="W184" s="1456"/>
      <c r="X184" s="1456"/>
      <c r="Y184" s="1456"/>
      <c r="Z184" s="1456"/>
      <c r="AA184" s="1456"/>
      <c r="AB184" s="1456"/>
      <c r="AC184" s="1456"/>
      <c r="AD184" s="1456"/>
      <c r="AE184" s="1456"/>
      <c r="BC184" t="s">
        <v>594</v>
      </c>
      <c r="BN184" s="23" t="s">
        <v>230</v>
      </c>
      <c r="BT184" t="s">
        <v>62</v>
      </c>
    </row>
    <row r="185" spans="1:72" ht="12.95" customHeight="1">
      <c r="C185" s="21"/>
      <c r="D185" t="s">
        <v>586</v>
      </c>
      <c r="I185" s="1434" t="s">
        <v>2758</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595</v>
      </c>
      <c r="BN185" s="23" t="s">
        <v>231</v>
      </c>
      <c r="BT185" t="s">
        <v>63</v>
      </c>
    </row>
    <row r="186" spans="1:72" ht="12.95" customHeight="1">
      <c r="C186" s="21"/>
      <c r="E186" t="s">
        <v>167</v>
      </c>
      <c r="BN186" s="23" t="s">
        <v>232</v>
      </c>
      <c r="BT186" t="s">
        <v>64</v>
      </c>
    </row>
    <row r="187" spans="1:72" ht="12.95" customHeight="1">
      <c r="C187" s="21"/>
      <c r="E187" s="1780"/>
      <c r="F187" s="1780"/>
      <c r="G187" s="1780"/>
      <c r="H187" s="1780"/>
      <c r="I187" s="1780"/>
      <c r="J187" s="1780"/>
      <c r="K187" s="1780"/>
      <c r="L187" s="1780"/>
      <c r="M187" s="1780"/>
      <c r="N187" s="1780"/>
      <c r="O187" s="1780"/>
      <c r="P187" s="1780"/>
      <c r="Q187" s="1780"/>
      <c r="R187" s="1780"/>
      <c r="S187" s="1780"/>
      <c r="T187" s="1780"/>
      <c r="U187" s="1780"/>
      <c r="V187" s="1780"/>
      <c r="W187" s="1780"/>
      <c r="X187" s="1780"/>
      <c r="Y187" s="1780"/>
      <c r="Z187" s="1780"/>
      <c r="AA187" s="1780"/>
      <c r="AB187" s="1780"/>
      <c r="AC187" s="1780"/>
      <c r="AD187" s="1780"/>
      <c r="AE187" s="1780"/>
      <c r="BN187" s="23" t="s">
        <v>233</v>
      </c>
      <c r="BT187" t="s">
        <v>65</v>
      </c>
    </row>
    <row r="188" spans="1:72" ht="12.95" customHeight="1">
      <c r="C188" s="21"/>
      <c r="E188" s="1781"/>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C188" s="1781"/>
      <c r="AD188" s="1781"/>
      <c r="AE188" s="1781"/>
      <c r="BN188" s="23" t="s">
        <v>235</v>
      </c>
      <c r="BT188" t="s">
        <v>66</v>
      </c>
    </row>
    <row r="189" spans="1:72" ht="12.95" customHeight="1">
      <c r="C189" s="21"/>
      <c r="D189" t="s">
        <v>587</v>
      </c>
      <c r="I189" s="1380" t="s">
        <v>2755</v>
      </c>
      <c r="J189" s="1380"/>
      <c r="K189" s="1380"/>
      <c r="L189" s="1380"/>
      <c r="M189" s="1380"/>
      <c r="N189" s="1380"/>
      <c r="O189" s="1380"/>
      <c r="P189" s="1380"/>
      <c r="Q189" t="s">
        <v>589</v>
      </c>
      <c r="T189" s="1380" t="s">
        <v>483</v>
      </c>
      <c r="U189" s="1380"/>
      <c r="V189" s="1380"/>
      <c r="W189" s="1380"/>
      <c r="X189" s="1380"/>
      <c r="Y189" s="1380"/>
      <c r="Z189" s="1380"/>
      <c r="AA189" s="1380"/>
      <c r="AB189" s="1380"/>
      <c r="AC189" s="1380"/>
      <c r="AD189" s="1380"/>
      <c r="AE189" s="1380"/>
      <c r="BC189" t="s">
        <v>307</v>
      </c>
      <c r="BH189" s="3" t="s">
        <v>598</v>
      </c>
      <c r="BN189" s="23" t="s">
        <v>236</v>
      </c>
      <c r="BT189" t="s">
        <v>67</v>
      </c>
    </row>
    <row r="190" spans="1:72" ht="12.95" customHeight="1">
      <c r="C190" s="21"/>
      <c r="D190" t="s">
        <v>590</v>
      </c>
      <c r="I190" s="1434">
        <v>94578</v>
      </c>
      <c r="J190" s="1434"/>
      <c r="K190" s="1434"/>
      <c r="L190" s="1434"/>
      <c r="M190" s="1434"/>
      <c r="N190" s="1434"/>
      <c r="O190" t="s">
        <v>592</v>
      </c>
      <c r="T190" s="1784" t="s">
        <v>2759</v>
      </c>
      <c r="U190" s="1784"/>
      <c r="V190" s="1784"/>
      <c r="W190" s="1784"/>
      <c r="X190" s="1784"/>
      <c r="Y190" s="1784"/>
      <c r="Z190" s="1784"/>
      <c r="AA190" s="1784"/>
      <c r="AB190" s="1784"/>
      <c r="AC190" s="1784"/>
      <c r="AD190" s="1784"/>
      <c r="AE190" s="1784"/>
      <c r="BC190" t="s">
        <v>1062</v>
      </c>
      <c r="BH190" t="s">
        <v>1062</v>
      </c>
      <c r="BN190" s="23" t="s">
        <v>641</v>
      </c>
      <c r="BT190" t="s">
        <v>68</v>
      </c>
    </row>
    <row r="191" spans="1:72" ht="12.95" customHeight="1">
      <c r="C191" s="21"/>
      <c r="D191" t="s">
        <v>469</v>
      </c>
      <c r="N191" s="1780" t="s">
        <v>2760</v>
      </c>
      <c r="O191" s="1780"/>
      <c r="P191" s="1780"/>
      <c r="Q191" s="1780"/>
      <c r="R191" s="1780"/>
      <c r="S191" s="1780"/>
      <c r="T191" s="1780"/>
      <c r="U191" s="1780"/>
      <c r="V191" s="1780"/>
      <c r="W191" s="1780"/>
      <c r="X191" s="1780"/>
      <c r="Y191" s="1780"/>
      <c r="Z191" s="1780"/>
      <c r="AA191" s="1780"/>
      <c r="AB191" s="1780"/>
      <c r="AC191" s="1780"/>
      <c r="AD191" s="1780"/>
      <c r="AE191" s="1780"/>
      <c r="BC191" t="s">
        <v>1061</v>
      </c>
      <c r="BH191" t="s">
        <v>1061</v>
      </c>
      <c r="BN191" s="23" t="s">
        <v>695</v>
      </c>
      <c r="BT191" t="s">
        <v>734</v>
      </c>
    </row>
    <row r="192" spans="1:72" ht="12.95" customHeight="1">
      <c r="C192" s="21"/>
      <c r="M192" s="40"/>
      <c r="N192" s="1781"/>
      <c r="O192" s="1781"/>
      <c r="P192" s="1781"/>
      <c r="Q192" s="1781"/>
      <c r="R192" s="1781"/>
      <c r="S192" s="1781"/>
      <c r="T192" s="1781"/>
      <c r="U192" s="1781"/>
      <c r="V192" s="1781"/>
      <c r="W192" s="1781"/>
      <c r="X192" s="1781"/>
      <c r="Y192" s="1781"/>
      <c r="Z192" s="1781"/>
      <c r="AA192" s="1781"/>
      <c r="AB192" s="1781"/>
      <c r="AC192" s="1781"/>
      <c r="AD192" s="1781"/>
      <c r="AE192" s="1781"/>
      <c r="BC192" t="s">
        <v>1064</v>
      </c>
      <c r="BH192" s="3" t="s">
        <v>1470</v>
      </c>
      <c r="BN192" s="23" t="s">
        <v>696</v>
      </c>
      <c r="BT192" t="s">
        <v>735</v>
      </c>
    </row>
    <row r="193" spans="1:74" ht="12.95" customHeight="1">
      <c r="C193" s="21"/>
      <c r="D193" t="s">
        <v>2393</v>
      </c>
      <c r="M193" s="40"/>
      <c r="N193" s="928"/>
      <c r="O193" s="928"/>
      <c r="P193" s="928"/>
      <c r="Q193" s="928"/>
      <c r="R193" s="928"/>
      <c r="S193" s="928"/>
      <c r="T193" s="1773" t="s">
        <v>2270</v>
      </c>
      <c r="U193" s="1773"/>
      <c r="V193" s="1773"/>
      <c r="W193" s="1773"/>
      <c r="X193" s="1773"/>
      <c r="Y193" s="1773"/>
      <c r="Z193" s="1773"/>
      <c r="AA193" s="1773"/>
      <c r="AB193" s="1773"/>
      <c r="AC193" s="1773"/>
      <c r="AD193" s="1773"/>
      <c r="AE193" s="1773"/>
      <c r="AF193" s="1773"/>
      <c r="AG193" s="1773"/>
      <c r="AH193" s="1773"/>
      <c r="AI193" s="1773"/>
      <c r="BC193" t="s">
        <v>1063</v>
      </c>
      <c r="BH193" s="3" t="s">
        <v>1737</v>
      </c>
      <c r="BN193" s="23" t="s">
        <v>697</v>
      </c>
      <c r="BT193" t="s">
        <v>736</v>
      </c>
    </row>
    <row r="194" spans="1:74" ht="12.95" customHeight="1">
      <c r="C194" s="21"/>
      <c r="D194" s="3" t="s">
        <v>2575</v>
      </c>
      <c r="M194" s="40"/>
      <c r="N194" s="928"/>
      <c r="O194" s="928"/>
      <c r="P194" s="928"/>
      <c r="Q194" s="928"/>
      <c r="R194" s="928"/>
      <c r="S194" s="928"/>
      <c r="AH194" s="1379" t="s">
        <v>675</v>
      </c>
      <c r="AI194" s="1379"/>
      <c r="BC194" t="s">
        <v>1470</v>
      </c>
      <c r="BN194" s="23" t="s">
        <v>698</v>
      </c>
      <c r="BT194" t="s">
        <v>737</v>
      </c>
    </row>
    <row r="195" spans="1:74" ht="12.95" customHeight="1">
      <c r="C195" s="21"/>
      <c r="D195" t="s">
        <v>331</v>
      </c>
      <c r="T195" s="1379" t="s">
        <v>675</v>
      </c>
      <c r="U195" s="1379"/>
      <c r="W195" t="s">
        <v>691</v>
      </c>
      <c r="AH195" s="1379">
        <v>12</v>
      </c>
      <c r="AI195" s="1379"/>
      <c r="BC195" t="s">
        <v>2043</v>
      </c>
      <c r="BN195" s="23" t="s">
        <v>242</v>
      </c>
      <c r="BT195" t="s">
        <v>738</v>
      </c>
    </row>
    <row r="196" spans="1:74" ht="12.95" customHeight="1">
      <c r="C196" s="21"/>
      <c r="D196" t="s">
        <v>386</v>
      </c>
      <c r="T196" s="1640" t="s">
        <v>675</v>
      </c>
      <c r="U196" s="1640"/>
      <c r="W196" t="s">
        <v>692</v>
      </c>
      <c r="AH196" s="1379">
        <v>20</v>
      </c>
      <c r="AI196" s="1379"/>
      <c r="BN196" s="23" t="s">
        <v>243</v>
      </c>
      <c r="BT196" t="s">
        <v>69</v>
      </c>
    </row>
    <row r="197" spans="1:74" ht="12.95" customHeight="1">
      <c r="C197" s="21"/>
      <c r="D197" s="3" t="s">
        <v>168</v>
      </c>
      <c r="T197" s="1640" t="s">
        <v>675</v>
      </c>
      <c r="U197" s="1640"/>
      <c r="W197" t="s">
        <v>693</v>
      </c>
      <c r="AH197" s="1379">
        <v>9</v>
      </c>
      <c r="AI197" s="1379"/>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640" t="s">
        <v>598</v>
      </c>
      <c r="U198" s="164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79" t="s">
        <v>675</v>
      </c>
      <c r="AA199" s="1379"/>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456" t="s">
        <v>385</v>
      </c>
      <c r="E204" s="1456"/>
      <c r="F204" s="1456"/>
      <c r="G204" s="1456"/>
      <c r="H204" s="1456"/>
      <c r="I204" s="1456"/>
      <c r="J204" s="1456"/>
      <c r="K204" s="1456"/>
      <c r="L204" s="1456"/>
      <c r="M204" s="1456"/>
      <c r="P204" s="1802">
        <f>M26</f>
        <v>7544820</v>
      </c>
      <c r="Q204" s="1782"/>
      <c r="R204" s="1782"/>
      <c r="S204" s="1782"/>
      <c r="T204" s="1782"/>
      <c r="U204" s="1782"/>
      <c r="BC204" t="s">
        <v>617</v>
      </c>
      <c r="BN204" s="23" t="s">
        <v>710</v>
      </c>
      <c r="BT204" s="32" t="s">
        <v>197</v>
      </c>
      <c r="BU204" s="14"/>
    </row>
    <row r="205" spans="1:74" ht="12.95" customHeight="1">
      <c r="C205" s="21"/>
      <c r="D205" s="1779" t="s">
        <v>1352</v>
      </c>
      <c r="E205" s="1456"/>
      <c r="F205" s="1456"/>
      <c r="G205" s="1456"/>
      <c r="H205" s="1456"/>
      <c r="I205" s="1456"/>
      <c r="J205" s="1456"/>
      <c r="K205" s="1456"/>
      <c r="L205" s="1456"/>
      <c r="M205" s="1456"/>
      <c r="P205" s="1782">
        <f>M27</f>
        <v>0</v>
      </c>
      <c r="Q205" s="1782"/>
      <c r="R205" s="1782"/>
      <c r="S205" s="1782"/>
      <c r="T205" s="1782"/>
      <c r="U205" s="1782"/>
      <c r="V205" s="28"/>
      <c r="W205" s="3" t="s">
        <v>1905</v>
      </c>
      <c r="Z205" s="1788"/>
      <c r="AA205" s="1788"/>
      <c r="AB205" s="1788"/>
      <c r="AC205" s="1788"/>
      <c r="AD205" s="1788"/>
      <c r="AE205" s="1788"/>
      <c r="AF205" s="1788"/>
      <c r="AG205" s="1788"/>
      <c r="AH205" s="1788"/>
      <c r="AI205" s="1788"/>
      <c r="AJ205" s="1788"/>
      <c r="AK205" s="1788"/>
      <c r="AL205" s="1788"/>
      <c r="AM205" s="1788"/>
      <c r="AN205" s="1788"/>
      <c r="AP205" s="1301"/>
      <c r="AQ205" s="1301"/>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399" t="s">
        <v>2775</v>
      </c>
      <c r="E208" s="1399"/>
      <c r="F208" s="1399"/>
      <c r="G208" s="1399"/>
      <c r="H208" s="1399"/>
      <c r="I208" s="1399"/>
      <c r="J208" s="1399"/>
      <c r="K208" s="1399"/>
      <c r="L208" s="1399"/>
      <c r="M208" s="1399"/>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399" t="s">
        <v>2043</v>
      </c>
      <c r="E211" s="1399"/>
      <c r="F211" s="1399"/>
      <c r="G211" s="1399"/>
      <c r="H211" s="1399"/>
      <c r="I211" s="1399"/>
      <c r="J211" s="1399"/>
      <c r="K211" s="1399"/>
      <c r="L211" s="1399"/>
      <c r="M211" s="1399"/>
      <c r="BN211" s="23" t="s">
        <v>129</v>
      </c>
      <c r="BT211" s="32" t="s">
        <v>130</v>
      </c>
    </row>
    <row r="212" spans="1:72" ht="12.95" customHeight="1">
      <c r="C212" s="21"/>
      <c r="D212" t="s">
        <v>1349</v>
      </c>
      <c r="Y212" s="1379"/>
      <c r="Z212" s="1379"/>
      <c r="AB212" s="1786">
        <f>IFERROR(Y212/AG440,"")</f>
        <v>0</v>
      </c>
      <c r="AC212" s="178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799" t="s">
        <v>598</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537</v>
      </c>
      <c r="BI214" t="s">
        <v>2629</v>
      </c>
      <c r="BN214" s="23" t="s">
        <v>326</v>
      </c>
      <c r="BT214" s="32" t="s">
        <v>205</v>
      </c>
    </row>
    <row r="215" spans="1:72" ht="12.95" customHeight="1">
      <c r="D215" s="3" t="s">
        <v>1761</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399" t="s">
        <v>1089</v>
      </c>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9"/>
      <c r="Z220" s="1399"/>
      <c r="BA220" s="3"/>
      <c r="BC220" t="s">
        <v>300</v>
      </c>
    </row>
    <row r="221" spans="1:72" ht="12.95" customHeight="1">
      <c r="A221" s="2"/>
      <c r="B221" s="14"/>
      <c r="C221" s="2"/>
      <c r="AU221" s="95"/>
      <c r="AV221" s="95"/>
      <c r="AW221" s="95"/>
      <c r="AX221" s="95"/>
      <c r="AY221" s="95"/>
      <c r="BA221" s="3"/>
    </row>
    <row r="222" spans="1:72" ht="12.95" customHeight="1">
      <c r="A222" s="1440" t="s">
        <v>547</v>
      </c>
      <c r="B222" s="1440"/>
      <c r="C222" s="1440"/>
      <c r="D222" s="1440"/>
      <c r="E222" s="1440"/>
      <c r="F222" s="1440"/>
      <c r="G222" s="1440"/>
      <c r="H222" s="1440"/>
      <c r="I222" s="1440"/>
      <c r="J222" s="1440"/>
      <c r="K222" s="1440"/>
      <c r="L222" s="1440"/>
      <c r="M222" s="1440"/>
      <c r="N222" s="1440"/>
      <c r="O222" s="1440"/>
      <c r="P222" s="1440"/>
      <c r="Q222" s="1440"/>
      <c r="R222" s="1440"/>
      <c r="S222" s="1440"/>
      <c r="T222" s="1440"/>
      <c r="U222" s="1440"/>
      <c r="V222" s="1440"/>
      <c r="W222" s="1440"/>
      <c r="X222" s="1440"/>
      <c r="Y222" s="1440"/>
      <c r="Z222" s="1440"/>
      <c r="AA222" s="1440"/>
      <c r="AB222" s="1440"/>
      <c r="AC222" s="1440"/>
      <c r="AD222" s="1440"/>
      <c r="AE222" s="1440"/>
      <c r="AF222" s="1440"/>
      <c r="AG222" s="1440"/>
      <c r="AH222" s="1440"/>
      <c r="AI222" s="1440"/>
      <c r="AJ222" s="1440"/>
      <c r="AK222" s="1440"/>
      <c r="AL222" s="1440"/>
      <c r="AM222" s="1440"/>
      <c r="AN222" s="1440"/>
      <c r="AO222" s="1440"/>
      <c r="AP222" s="1440"/>
      <c r="AQ222" s="1440"/>
      <c r="AR222" s="1440"/>
      <c r="AS222" s="1440"/>
      <c r="AT222" s="1440"/>
      <c r="AU222" s="95"/>
      <c r="AV222" s="95"/>
      <c r="AW222" s="95"/>
      <c r="AX222" s="95"/>
      <c r="AY222" s="95"/>
      <c r="AZ222" s="3"/>
      <c r="BA222" s="3"/>
      <c r="BP222" s="34"/>
    </row>
    <row r="223" spans="1:72" ht="12.95" customHeight="1">
      <c r="A223" s="1440"/>
      <c r="B223" s="1440"/>
      <c r="C223" s="1440"/>
      <c r="D223" s="1440"/>
      <c r="E223" s="1440"/>
      <c r="F223" s="1440"/>
      <c r="G223" s="1440"/>
      <c r="H223" s="1440"/>
      <c r="I223" s="1440"/>
      <c r="J223" s="1440"/>
      <c r="K223" s="1440"/>
      <c r="L223" s="1440"/>
      <c r="M223" s="1440"/>
      <c r="N223" s="1440"/>
      <c r="O223" s="1440"/>
      <c r="P223" s="1440"/>
      <c r="Q223" s="1440"/>
      <c r="R223" s="1440"/>
      <c r="S223" s="1440"/>
      <c r="T223" s="1440"/>
      <c r="U223" s="1440"/>
      <c r="V223" s="1440"/>
      <c r="W223" s="1440"/>
      <c r="X223" s="1440"/>
      <c r="Y223" s="1440"/>
      <c r="Z223" s="1440"/>
      <c r="AA223" s="1440"/>
      <c r="AB223" s="1440"/>
      <c r="AC223" s="1440"/>
      <c r="AD223" s="1440"/>
      <c r="AE223" s="1440"/>
      <c r="AF223" s="1440"/>
      <c r="AG223" s="1440"/>
      <c r="AH223" s="1440"/>
      <c r="AI223" s="1440"/>
      <c r="AJ223" s="1440"/>
      <c r="AK223" s="1440"/>
      <c r="AL223" s="1440"/>
      <c r="AM223" s="1440"/>
      <c r="AN223" s="1440"/>
      <c r="AO223" s="1440"/>
      <c r="AP223" s="1440"/>
      <c r="AQ223" s="1440"/>
      <c r="AR223" s="1440"/>
      <c r="AS223" s="1440"/>
      <c r="AT223" s="1440"/>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552</v>
      </c>
      <c r="AJ226" s="137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598</v>
      </c>
      <c r="AJ227" s="137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598</v>
      </c>
      <c r="AJ228" s="137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598</v>
      </c>
      <c r="AJ229" s="137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85" t="str">
        <f>H16</f>
        <v>San Leandro Bay Fair Associates, a California Limited Partnership</v>
      </c>
      <c r="N232" s="1785"/>
      <c r="O232" s="1785"/>
      <c r="P232" s="1785"/>
      <c r="Q232" s="1785"/>
      <c r="R232" s="1785"/>
      <c r="S232" s="1785"/>
      <c r="T232" s="1785"/>
      <c r="U232" s="1785"/>
      <c r="V232" s="1785"/>
      <c r="W232" s="1785"/>
      <c r="X232" s="1785"/>
      <c r="Y232" s="1785"/>
      <c r="Z232" s="1785"/>
      <c r="AA232" s="1785"/>
      <c r="AB232" s="1785"/>
      <c r="AC232" s="1785"/>
      <c r="AD232" s="1785"/>
      <c r="AE232" s="1785"/>
      <c r="AF232" s="1785"/>
      <c r="AG232" s="1785"/>
      <c r="AH232" s="1785"/>
      <c r="AI232" s="1785"/>
      <c r="AJ232" s="1785"/>
      <c r="AK232" s="1785"/>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8" t="s">
        <v>2644</v>
      </c>
      <c r="N233" s="1399"/>
      <c r="O233" s="1399"/>
      <c r="P233" s="1399"/>
      <c r="Q233" s="1399"/>
      <c r="R233" s="1399"/>
      <c r="S233" s="1399"/>
      <c r="T233" s="1399"/>
      <c r="U233" s="1399"/>
      <c r="V233" s="1399"/>
      <c r="W233" s="1399"/>
      <c r="X233" s="1399"/>
      <c r="Y233" s="1399"/>
      <c r="Z233" s="1399"/>
      <c r="AA233" s="1399"/>
      <c r="AB233" s="1399"/>
      <c r="AC233" s="1399"/>
      <c r="AD233" s="1399"/>
      <c r="AE233" s="1399"/>
      <c r="BB233" s="219" t="s">
        <v>545</v>
      </c>
      <c r="BG233" s="259">
        <f>IF(AND(AND($M$249="nonprofit",$M$257="for profit",$M$265="nonprofit")),2,0)</f>
        <v>0</v>
      </c>
    </row>
    <row r="234" spans="1:69" ht="12.95" customHeight="1">
      <c r="D234" s="4" t="s">
        <v>587</v>
      </c>
      <c r="E234" s="4"/>
      <c r="M234" s="1398" t="s">
        <v>2640</v>
      </c>
      <c r="N234" s="1399"/>
      <c r="O234" s="1399"/>
      <c r="P234" s="1399"/>
      <c r="Q234" s="1399"/>
      <c r="R234" s="1399"/>
      <c r="S234" s="1399"/>
      <c r="T234" s="1399"/>
      <c r="V234" s="33" t="s">
        <v>86</v>
      </c>
      <c r="W234" s="1593" t="s">
        <v>2645</v>
      </c>
      <c r="X234" s="1465"/>
      <c r="Y234" s="4" t="s">
        <v>590</v>
      </c>
      <c r="AC234" s="1399">
        <v>83616</v>
      </c>
      <c r="AD234" s="1399"/>
      <c r="AE234" s="1399"/>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8" t="s">
        <v>2642</v>
      </c>
      <c r="N235" s="1399"/>
      <c r="O235" s="1399"/>
      <c r="P235" s="1399"/>
      <c r="Q235" s="1399"/>
      <c r="R235" s="1399"/>
      <c r="S235" s="1399"/>
      <c r="T235" s="1399"/>
      <c r="U235" s="1399"/>
      <c r="V235" s="1399"/>
      <c r="W235" s="1399"/>
      <c r="X235" s="1399"/>
      <c r="Y235" s="1399"/>
      <c r="Z235" s="1399"/>
      <c r="AA235" s="1399"/>
      <c r="AB235" s="1399"/>
      <c r="AC235" s="1399"/>
      <c r="AD235" s="1399"/>
      <c r="AE235" s="1399"/>
      <c r="AI235" s="4"/>
      <c r="AJ235" s="4"/>
      <c r="AK235" s="4"/>
      <c r="AL235" s="4"/>
      <c r="AM235" s="4"/>
      <c r="AN235" s="4"/>
      <c r="AO235" s="4"/>
      <c r="AP235" s="4"/>
      <c r="AQ235" s="4"/>
      <c r="AR235" s="4"/>
      <c r="AS235" s="4"/>
      <c r="AT235" s="4"/>
      <c r="BB235" s="219"/>
      <c r="BG235" s="218"/>
    </row>
    <row r="236" spans="1:69" ht="12.95" customHeight="1">
      <c r="D236" s="4" t="s">
        <v>88</v>
      </c>
      <c r="E236" s="4"/>
      <c r="F236" s="4"/>
      <c r="M236" s="1390" t="s">
        <v>2646</v>
      </c>
      <c r="N236" s="1391"/>
      <c r="O236" s="1391"/>
      <c r="P236" s="1391"/>
      <c r="Q236" s="1391"/>
      <c r="R236" s="1391"/>
      <c r="S236" s="4" t="s">
        <v>206</v>
      </c>
      <c r="T236" s="4"/>
      <c r="U236" s="1465">
        <v>3015</v>
      </c>
      <c r="V236" s="1465"/>
      <c r="W236" s="1465"/>
      <c r="X236" s="4" t="s">
        <v>89</v>
      </c>
      <c r="Z236" s="1390" t="s">
        <v>2647</v>
      </c>
      <c r="AA236" s="1391"/>
      <c r="AB236" s="1391"/>
      <c r="AC236" s="1391"/>
      <c r="AD236" s="1391"/>
      <c r="AE236" s="1391"/>
      <c r="AU236" s="4"/>
      <c r="AV236" s="4"/>
      <c r="AW236" s="4"/>
      <c r="AX236" s="4"/>
      <c r="AY236" s="4"/>
      <c r="AZ236" s="4"/>
      <c r="BB236" s="218" t="s">
        <v>544</v>
      </c>
      <c r="BG236" s="259">
        <f>IF(AND(AND($M$249="nonprofit",$M$257="nonprofit",$M$265="(select one)")),1,0)</f>
        <v>0</v>
      </c>
    </row>
    <row r="237" spans="1:69" ht="12.95" customHeight="1">
      <c r="D237" s="4" t="s">
        <v>90</v>
      </c>
      <c r="E237" s="4"/>
      <c r="F237" s="4"/>
      <c r="M237" s="1770" t="s">
        <v>2648</v>
      </c>
      <c r="N237" s="1770"/>
      <c r="O237" s="1770"/>
      <c r="P237" s="1770"/>
      <c r="Q237" s="1770"/>
      <c r="R237" s="1770"/>
      <c r="S237" s="1770"/>
      <c r="T237" s="1770"/>
      <c r="U237" s="1770"/>
      <c r="V237" s="1770"/>
      <c r="W237" s="1770"/>
      <c r="X237" s="1770"/>
      <c r="Y237" s="1770"/>
      <c r="Z237" s="1770"/>
      <c r="AA237" s="1770"/>
      <c r="AB237" s="1770"/>
      <c r="AC237" s="1770"/>
      <c r="AD237" s="1770"/>
      <c r="AE237" s="1770"/>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4" t="s">
        <v>535</v>
      </c>
      <c r="N238" s="1434"/>
      <c r="O238" s="1434"/>
      <c r="P238" s="1434"/>
      <c r="Q238" s="1434"/>
      <c r="R238" s="1434"/>
      <c r="S238" s="1434"/>
      <c r="T238" s="1434"/>
      <c r="U238" s="218" t="s">
        <v>919</v>
      </c>
      <c r="V238" s="218"/>
      <c r="W238" s="218"/>
      <c r="X238" s="218"/>
      <c r="Y238" s="218"/>
      <c r="Z238" s="218"/>
      <c r="AA238" s="1771" t="s">
        <v>598</v>
      </c>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01" t="s">
        <v>2649</v>
      </c>
      <c r="N243" s="1402"/>
      <c r="O243" s="1402"/>
      <c r="P243" s="1402"/>
      <c r="Q243" s="1402"/>
      <c r="R243" s="1402"/>
      <c r="S243" s="1402"/>
      <c r="T243" s="1402"/>
      <c r="U243" s="1402"/>
      <c r="V243" s="1402"/>
      <c r="W243" s="1402"/>
      <c r="X243" s="1402"/>
      <c r="Y243" s="1402"/>
      <c r="Z243" s="1402"/>
      <c r="AA243" s="1402"/>
      <c r="AB243" s="1402"/>
      <c r="AC243" s="1402"/>
      <c r="AD243" s="1402"/>
      <c r="AE243" s="1402"/>
      <c r="AF243" s="1402" t="s">
        <v>2650</v>
      </c>
      <c r="AG243" s="1402"/>
      <c r="AH243" s="1402"/>
      <c r="AI243" s="1402"/>
      <c r="AJ243" s="1402"/>
      <c r="AK243" s="140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8" t="s">
        <v>2651</v>
      </c>
      <c r="N244" s="1399"/>
      <c r="O244" s="1399"/>
      <c r="P244" s="1399"/>
      <c r="Q244" s="1399"/>
      <c r="R244" s="1399"/>
      <c r="S244" s="1399"/>
      <c r="T244" s="1399"/>
      <c r="U244" s="1399"/>
      <c r="V244" s="1399"/>
      <c r="W244" s="1399"/>
      <c r="X244" s="1399"/>
      <c r="Y244" s="1399"/>
      <c r="Z244" s="1399"/>
      <c r="AA244" s="1399"/>
      <c r="AB244" s="1399"/>
      <c r="AC244" s="1399"/>
      <c r="AD244" s="1399"/>
      <c r="AE244" s="1399"/>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398" t="s">
        <v>55</v>
      </c>
      <c r="N245" s="1399"/>
      <c r="O245" s="1399"/>
      <c r="P245" s="1399"/>
      <c r="Q245" s="1399"/>
      <c r="R245" s="1399"/>
      <c r="S245" s="1399"/>
      <c r="T245" s="1399"/>
      <c r="V245" s="33" t="s">
        <v>86</v>
      </c>
      <c r="W245" s="1593" t="s">
        <v>2652</v>
      </c>
      <c r="X245" s="1465"/>
      <c r="Y245" s="4" t="s">
        <v>590</v>
      </c>
      <c r="AC245" s="1399">
        <v>95348</v>
      </c>
      <c r="AD245" s="1399"/>
      <c r="AE245" s="1399"/>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8" t="s">
        <v>2653</v>
      </c>
      <c r="N246" s="1399"/>
      <c r="O246" s="1399"/>
      <c r="P246" s="1399"/>
      <c r="Q246" s="1399"/>
      <c r="R246" s="1399"/>
      <c r="S246" s="1399"/>
      <c r="T246" s="1399"/>
      <c r="U246" s="1399"/>
      <c r="V246" s="1399"/>
      <c r="W246" s="1399"/>
      <c r="X246" s="1399"/>
      <c r="Y246" s="1399"/>
      <c r="Z246" s="1399"/>
      <c r="AA246" s="1399"/>
      <c r="AB246" s="1399"/>
      <c r="AC246" s="1399"/>
      <c r="AD246" s="1399"/>
      <c r="AE246" s="1399"/>
      <c r="AH246" s="1775">
        <v>1E-3</v>
      </c>
      <c r="AI246" s="1775"/>
      <c r="AJ246" s="1775"/>
      <c r="AK246" s="1775"/>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390" t="s">
        <v>2654</v>
      </c>
      <c r="N247" s="1391"/>
      <c r="O247" s="1391"/>
      <c r="P247" s="1391"/>
      <c r="Q247" s="1391"/>
      <c r="R247" s="1391"/>
      <c r="S247" s="4" t="s">
        <v>206</v>
      </c>
      <c r="T247" s="4"/>
      <c r="U247" s="1465"/>
      <c r="V247" s="1465"/>
      <c r="W247" s="1465"/>
      <c r="X247" s="4" t="s">
        <v>89</v>
      </c>
      <c r="Z247" s="1390" t="s">
        <v>2655</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0" t="s">
        <v>2656</v>
      </c>
      <c r="N248" s="1770"/>
      <c r="O248" s="1770"/>
      <c r="P248" s="1770"/>
      <c r="Q248" s="1770"/>
      <c r="R248" s="1770"/>
      <c r="S248" s="1770"/>
      <c r="T248" s="1770"/>
      <c r="U248" s="1770"/>
      <c r="V248" s="1770"/>
      <c r="W248" s="1770"/>
      <c r="X248" s="1770"/>
      <c r="Y248" s="1770"/>
      <c r="Z248" s="1770"/>
      <c r="AA248" s="1770"/>
      <c r="AB248" s="1770"/>
      <c r="AC248" s="1770"/>
      <c r="AD248" s="1770"/>
      <c r="AE248" s="1770"/>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4" t="s">
        <v>541</v>
      </c>
      <c r="N249" s="1434"/>
      <c r="O249" s="1434"/>
      <c r="P249" s="1434"/>
      <c r="Q249" s="1434"/>
      <c r="R249" s="1434"/>
      <c r="S249" s="1434"/>
      <c r="T249" s="1434"/>
      <c r="U249" s="218" t="s">
        <v>919</v>
      </c>
      <c r="V249" s="218"/>
      <c r="W249" s="218"/>
      <c r="X249" s="218"/>
      <c r="Y249" s="218"/>
      <c r="Z249" s="218"/>
      <c r="AA249" s="1771" t="s">
        <v>598</v>
      </c>
      <c r="AB249" s="1772"/>
      <c r="AC249" s="1772"/>
      <c r="AD249" s="1772"/>
      <c r="AE249" s="1772"/>
      <c r="AF249" s="1772"/>
      <c r="AG249" s="1772"/>
      <c r="AH249" s="1772"/>
      <c r="AI249" s="1772"/>
      <c r="AJ249" s="1772"/>
      <c r="AK249" s="177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401" t="s">
        <v>2657</v>
      </c>
      <c r="N251" s="1402"/>
      <c r="O251" s="1402"/>
      <c r="P251" s="1402"/>
      <c r="Q251" s="1402"/>
      <c r="R251" s="1402"/>
      <c r="S251" s="1402"/>
      <c r="T251" s="1402"/>
      <c r="U251" s="1402"/>
      <c r="V251" s="1402"/>
      <c r="W251" s="1402"/>
      <c r="X251" s="1402"/>
      <c r="Y251" s="1402"/>
      <c r="Z251" s="1402"/>
      <c r="AA251" s="1402"/>
      <c r="AB251" s="1402"/>
      <c r="AC251" s="1402"/>
      <c r="AD251" s="1402"/>
      <c r="AE251" s="1402"/>
      <c r="AF251" s="1402" t="s">
        <v>2658</v>
      </c>
      <c r="AG251" s="1402"/>
      <c r="AH251" s="1402"/>
      <c r="AI251" s="1402"/>
      <c r="AJ251" s="1402"/>
      <c r="AK251" s="1402"/>
      <c r="AU251" s="4"/>
      <c r="AV251" s="4"/>
      <c r="AW251" s="4"/>
      <c r="AX251" s="4"/>
      <c r="AY251" s="4"/>
      <c r="BN251" s="34"/>
    </row>
    <row r="252" spans="1:71" ht="12.95" customHeight="1">
      <c r="A252" s="19"/>
      <c r="B252" s="4"/>
      <c r="C252" s="4"/>
      <c r="D252" s="4" t="s">
        <v>85</v>
      </c>
      <c r="E252" s="4"/>
      <c r="F252" s="4"/>
      <c r="G252" s="4"/>
      <c r="H252" s="4"/>
      <c r="I252" s="4"/>
      <c r="J252" s="4"/>
      <c r="K252" s="4"/>
      <c r="L252" s="4"/>
      <c r="M252" s="1398" t="s">
        <v>2644</v>
      </c>
      <c r="N252" s="1399"/>
      <c r="O252" s="1399"/>
      <c r="P252" s="1399"/>
      <c r="Q252" s="1399"/>
      <c r="R252" s="1399"/>
      <c r="S252" s="1399"/>
      <c r="T252" s="1399"/>
      <c r="U252" s="1399"/>
      <c r="V252" s="1399"/>
      <c r="W252" s="1399"/>
      <c r="X252" s="1399"/>
      <c r="Y252" s="1399"/>
      <c r="Z252" s="1399"/>
      <c r="AA252" s="1399"/>
      <c r="AB252" s="1399"/>
      <c r="AC252" s="1399"/>
      <c r="AD252" s="1399"/>
      <c r="AE252" s="1399"/>
      <c r="AF252" s="3" t="s">
        <v>1282</v>
      </c>
      <c r="AL252" s="4"/>
      <c r="AM252" s="4"/>
      <c r="AN252" s="4"/>
      <c r="AO252" s="4"/>
      <c r="AP252" s="4"/>
      <c r="AQ252" s="4"/>
      <c r="AR252" s="4"/>
      <c r="AS252" s="4"/>
      <c r="AT252" s="4"/>
      <c r="BN252" s="34"/>
    </row>
    <row r="253" spans="1:71" ht="12.95" customHeight="1">
      <c r="A253" s="19"/>
      <c r="B253" s="4"/>
      <c r="C253" s="4"/>
      <c r="D253" s="4" t="s">
        <v>587</v>
      </c>
      <c r="E253" s="4"/>
      <c r="M253" s="1398" t="s">
        <v>2640</v>
      </c>
      <c r="N253" s="1399"/>
      <c r="O253" s="1399"/>
      <c r="P253" s="1399"/>
      <c r="Q253" s="1399"/>
      <c r="R253" s="1399"/>
      <c r="S253" s="1399"/>
      <c r="T253" s="1399"/>
      <c r="V253" s="33" t="s">
        <v>86</v>
      </c>
      <c r="W253" s="1593" t="s">
        <v>2645</v>
      </c>
      <c r="X253" s="1465"/>
      <c r="Y253" s="4" t="s">
        <v>590</v>
      </c>
      <c r="AC253" s="1399">
        <v>83616</v>
      </c>
      <c r="AD253" s="1399"/>
      <c r="AE253" s="1399"/>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398" t="s">
        <v>2642</v>
      </c>
      <c r="N254" s="1399"/>
      <c r="O254" s="1399"/>
      <c r="P254" s="1399"/>
      <c r="Q254" s="1399"/>
      <c r="R254" s="1399"/>
      <c r="S254" s="1399"/>
      <c r="T254" s="1399"/>
      <c r="U254" s="1399"/>
      <c r="V254" s="1399"/>
      <c r="W254" s="1399"/>
      <c r="X254" s="1399"/>
      <c r="Y254" s="1399"/>
      <c r="Z254" s="1399"/>
      <c r="AA254" s="1399"/>
      <c r="AB254" s="1399"/>
      <c r="AC254" s="1399"/>
      <c r="AD254" s="1399"/>
      <c r="AE254" s="1399"/>
      <c r="AH254" s="1775">
        <v>8.9999999999999993E-3</v>
      </c>
      <c r="AI254" s="1775"/>
      <c r="AJ254" s="1775"/>
      <c r="AK254" s="1775"/>
      <c r="AL254" s="4"/>
      <c r="AM254" s="4"/>
      <c r="AN254" s="4"/>
      <c r="AO254" s="4"/>
      <c r="AP254" s="4"/>
      <c r="AQ254" s="4"/>
      <c r="AR254" s="4"/>
      <c r="AS254" s="4"/>
      <c r="AT254" s="4"/>
    </row>
    <row r="255" spans="1:71" ht="12.95" customHeight="1">
      <c r="A255" s="19"/>
      <c r="B255" s="4"/>
      <c r="C255" s="4"/>
      <c r="D255" s="4" t="s">
        <v>88</v>
      </c>
      <c r="E255" s="4"/>
      <c r="F255" s="4"/>
      <c r="M255" s="1390" t="s">
        <v>2646</v>
      </c>
      <c r="N255" s="1391"/>
      <c r="O255" s="1391"/>
      <c r="P255" s="1391"/>
      <c r="Q255" s="1391"/>
      <c r="R255" s="1391"/>
      <c r="S255" s="4" t="s">
        <v>206</v>
      </c>
      <c r="T255" s="4"/>
      <c r="U255" s="1465">
        <v>3015</v>
      </c>
      <c r="V255" s="1465"/>
      <c r="W255" s="1465"/>
      <c r="X255" s="4" t="s">
        <v>89</v>
      </c>
      <c r="Z255" s="1390" t="s">
        <v>2647</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0" t="s">
        <v>2648</v>
      </c>
      <c r="N256" s="1770"/>
      <c r="O256" s="1770"/>
      <c r="P256" s="1770"/>
      <c r="Q256" s="1770"/>
      <c r="R256" s="1770"/>
      <c r="S256" s="1770"/>
      <c r="T256" s="1770"/>
      <c r="U256" s="1770"/>
      <c r="V256" s="1770"/>
      <c r="W256" s="1770"/>
      <c r="X256" s="1770"/>
      <c r="Y256" s="1770"/>
      <c r="Z256" s="1770"/>
      <c r="AA256" s="1770"/>
      <c r="AB256" s="1770"/>
      <c r="AC256" s="1770"/>
      <c r="AD256" s="1770"/>
      <c r="AE256" s="177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4" t="s">
        <v>543</v>
      </c>
      <c r="N257" s="1434"/>
      <c r="O257" s="1434"/>
      <c r="P257" s="1434"/>
      <c r="Q257" s="1434"/>
      <c r="R257" s="1434"/>
      <c r="S257" s="1434"/>
      <c r="T257" s="1434"/>
      <c r="U257" s="218" t="s">
        <v>919</v>
      </c>
      <c r="V257" s="218"/>
      <c r="W257" s="218"/>
      <c r="X257" s="218"/>
      <c r="Y257" s="218"/>
      <c r="Z257" s="218"/>
      <c r="AA257" s="1771" t="s">
        <v>2659</v>
      </c>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401"/>
      <c r="N259" s="1402"/>
      <c r="O259" s="1402"/>
      <c r="P259" s="1402"/>
      <c r="Q259" s="1402"/>
      <c r="R259" s="1402"/>
      <c r="S259" s="1402"/>
      <c r="T259" s="1402"/>
      <c r="U259" s="1402"/>
      <c r="V259" s="1402"/>
      <c r="W259" s="1402"/>
      <c r="X259" s="1402"/>
      <c r="Y259" s="1402"/>
      <c r="Z259" s="1402"/>
      <c r="AA259" s="1402"/>
      <c r="AB259" s="1402"/>
      <c r="AC259" s="1402"/>
      <c r="AD259" s="1402"/>
      <c r="AE259" s="1402"/>
      <c r="AF259" s="1402"/>
      <c r="AG259" s="1402"/>
      <c r="AH259" s="1402"/>
      <c r="AI259" s="1402"/>
      <c r="AJ259" s="1402"/>
      <c r="AK259" s="140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9"/>
      <c r="O260" s="1399"/>
      <c r="P260" s="1399"/>
      <c r="Q260" s="1399"/>
      <c r="R260" s="1399"/>
      <c r="S260" s="1399"/>
      <c r="T260" s="1399"/>
      <c r="U260" s="1399"/>
      <c r="V260" s="1399"/>
      <c r="W260" s="1399"/>
      <c r="X260" s="1399"/>
      <c r="Y260" s="1399"/>
      <c r="Z260" s="1399"/>
      <c r="AA260" s="1399"/>
      <c r="AB260" s="1399"/>
      <c r="AC260" s="1399"/>
      <c r="AD260" s="1399"/>
      <c r="AE260" s="1399"/>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8"/>
      <c r="N261" s="1399"/>
      <c r="O261" s="1399"/>
      <c r="P261" s="1399"/>
      <c r="Q261" s="1399"/>
      <c r="R261" s="1399"/>
      <c r="S261" s="1399"/>
      <c r="T261" s="1399"/>
      <c r="V261" s="33" t="s">
        <v>86</v>
      </c>
      <c r="W261" s="1593"/>
      <c r="X261" s="1465"/>
      <c r="Y261" s="4" t="s">
        <v>590</v>
      </c>
      <c r="AC261" s="1399"/>
      <c r="AD261" s="1399"/>
      <c r="AE261" s="1399"/>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9"/>
      <c r="O262" s="1399"/>
      <c r="P262" s="1399"/>
      <c r="Q262" s="1399"/>
      <c r="R262" s="1399"/>
      <c r="S262" s="1399"/>
      <c r="T262" s="1399"/>
      <c r="U262" s="1399"/>
      <c r="V262" s="1399"/>
      <c r="W262" s="1399"/>
      <c r="X262" s="1399"/>
      <c r="Y262" s="1399"/>
      <c r="Z262" s="1399"/>
      <c r="AA262" s="1399"/>
      <c r="AB262" s="1399"/>
      <c r="AC262" s="1399"/>
      <c r="AD262" s="1399"/>
      <c r="AE262" s="1399"/>
      <c r="AH262" s="1775"/>
      <c r="AI262" s="1775"/>
      <c r="AJ262" s="1775"/>
      <c r="AK262" s="177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1"/>
      <c r="O263" s="1391"/>
      <c r="P263" s="1391"/>
      <c r="Q263" s="1391"/>
      <c r="R263" s="1391"/>
      <c r="S263" s="4" t="s">
        <v>206</v>
      </c>
      <c r="T263" s="4"/>
      <c r="U263" s="1465"/>
      <c r="V263" s="1465"/>
      <c r="W263" s="1465"/>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0"/>
      <c r="N264" s="1770"/>
      <c r="O264" s="1770"/>
      <c r="P264" s="1770"/>
      <c r="Q264" s="1770"/>
      <c r="R264" s="1770"/>
      <c r="S264" s="1770"/>
      <c r="T264" s="1770"/>
      <c r="U264" s="1770"/>
      <c r="V264" s="1770"/>
      <c r="W264" s="1770"/>
      <c r="X264" s="1770"/>
      <c r="Y264" s="1770"/>
      <c r="Z264" s="1770"/>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4" t="s">
        <v>307</v>
      </c>
      <c r="N265" s="1434"/>
      <c r="O265" s="1434"/>
      <c r="P265" s="1434"/>
      <c r="Q265" s="1434"/>
      <c r="R265" s="1434"/>
      <c r="S265" s="1434"/>
      <c r="T265" s="1434"/>
      <c r="U265" s="218" t="s">
        <v>919</v>
      </c>
      <c r="V265" s="218"/>
      <c r="W265" s="218"/>
      <c r="X265" s="218"/>
      <c r="Y265" s="218"/>
      <c r="Z265" s="218"/>
      <c r="AA265" s="1796"/>
      <c r="AB265" s="1797"/>
      <c r="AC265" s="1797"/>
      <c r="AD265" s="1797"/>
      <c r="AE265" s="1797"/>
      <c r="AF265" s="1797"/>
      <c r="AG265" s="1797"/>
      <c r="AH265" s="1797"/>
      <c r="AI265" s="1797"/>
      <c r="AJ265" s="1797"/>
      <c r="AK265" s="179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4" t="str">
        <f>IFERROR(BO245,"")</f>
        <v>Joint Venture</v>
      </c>
      <c r="U267" s="1804"/>
      <c r="V267" s="1804"/>
      <c r="W267" s="1804"/>
      <c r="X267" s="1804"/>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399" t="s">
        <v>280</v>
      </c>
      <c r="E270" s="1399"/>
      <c r="F270" s="1399"/>
      <c r="G270" s="1399"/>
      <c r="H270" s="1399"/>
      <c r="J270" t="s">
        <v>279</v>
      </c>
      <c r="X270" s="1487"/>
      <c r="Y270" s="1487"/>
      <c r="Z270" s="1487"/>
      <c r="AA270" s="1487"/>
      <c r="AB270" s="1487"/>
      <c r="AC270" s="148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01" t="s">
        <v>2660</v>
      </c>
      <c r="M274" s="1402"/>
      <c r="N274" s="1402"/>
      <c r="O274" s="1402"/>
      <c r="P274" s="1402"/>
      <c r="Q274" s="1402"/>
      <c r="R274" s="1402"/>
      <c r="S274" s="1402"/>
      <c r="T274" s="1402"/>
      <c r="U274" s="1402"/>
      <c r="V274" s="1402"/>
      <c r="W274" s="1402"/>
      <c r="X274" s="1402"/>
      <c r="Y274" s="1402"/>
      <c r="Z274" s="1402"/>
      <c r="AA274" s="1402"/>
      <c r="AB274" s="1402"/>
      <c r="AC274" s="1402"/>
      <c r="AD274" s="1402"/>
      <c r="AE274" s="1402"/>
      <c r="AF274" s="1402"/>
      <c r="AG274" s="1402"/>
      <c r="AH274" s="1402"/>
      <c r="AI274" s="1402"/>
      <c r="AJ274" s="140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
        <v>2644</v>
      </c>
      <c r="M275" s="1399"/>
      <c r="N275" s="1399"/>
      <c r="O275" s="1399"/>
      <c r="P275" s="1399"/>
      <c r="Q275" s="1399"/>
      <c r="R275" s="1399"/>
      <c r="S275" s="1399"/>
      <c r="T275" s="1399"/>
      <c r="U275" s="1399"/>
      <c r="V275" s="1399"/>
      <c r="W275" s="1399"/>
      <c r="X275" s="1399"/>
      <c r="Y275" s="1399"/>
      <c r="Z275" s="1399"/>
      <c r="AA275" s="1399"/>
      <c r="AB275" s="1399"/>
      <c r="AC275" s="1399"/>
      <c r="AD275" s="1399"/>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8" t="s">
        <v>2640</v>
      </c>
      <c r="M276" s="1399"/>
      <c r="N276" s="1399"/>
      <c r="O276" s="1399"/>
      <c r="P276" s="1399"/>
      <c r="Q276" s="1399"/>
      <c r="R276" s="1399"/>
      <c r="S276" s="1399"/>
      <c r="U276" s="33" t="s">
        <v>86</v>
      </c>
      <c r="V276" s="1593" t="s">
        <v>2645</v>
      </c>
      <c r="W276" s="1465"/>
      <c r="X276" s="4" t="s">
        <v>590</v>
      </c>
      <c r="AB276" s="1399">
        <v>83616</v>
      </c>
      <c r="AC276" s="1399"/>
      <c r="AD276" s="139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8" t="s">
        <v>2661</v>
      </c>
      <c r="M277" s="1399"/>
      <c r="N277" s="1399"/>
      <c r="O277" s="1399"/>
      <c r="P277" s="1399"/>
      <c r="Q277" s="1399"/>
      <c r="R277" s="1399"/>
      <c r="S277" s="1399"/>
      <c r="T277" s="1399"/>
      <c r="U277" s="1399"/>
      <c r="V277" s="1399"/>
      <c r="W277" s="1399"/>
      <c r="X277" s="1399"/>
      <c r="Y277" s="1399"/>
      <c r="Z277" s="1399"/>
      <c r="AA277" s="1399"/>
      <c r="AB277" s="1399"/>
      <c r="AC277" s="1399"/>
      <c r="AD277" s="1399"/>
      <c r="AI277" s="4"/>
      <c r="AJ277" s="4"/>
      <c r="AK277" s="3"/>
      <c r="AL277" s="3"/>
      <c r="AM277" s="3"/>
      <c r="AN277" s="3"/>
      <c r="AO277" s="3"/>
      <c r="AP277" s="3"/>
      <c r="AQ277" s="3"/>
      <c r="AR277" s="3"/>
      <c r="AS277" s="3"/>
      <c r="AT277" s="3"/>
      <c r="BN277" s="34"/>
    </row>
    <row r="278" spans="1:66" ht="12.95" customHeight="1">
      <c r="D278" s="4" t="s">
        <v>88</v>
      </c>
      <c r="E278" s="4"/>
      <c r="F278" s="4"/>
      <c r="L278" s="1390" t="s">
        <v>2662</v>
      </c>
      <c r="M278" s="1391"/>
      <c r="N278" s="1391"/>
      <c r="O278" s="1391"/>
      <c r="P278" s="1391"/>
      <c r="Q278" s="1391"/>
      <c r="R278" s="4" t="s">
        <v>206</v>
      </c>
      <c r="S278" s="4"/>
      <c r="T278" s="1465"/>
      <c r="U278" s="1465"/>
      <c r="V278" s="1465"/>
      <c r="W278" s="4" t="s">
        <v>89</v>
      </c>
      <c r="Y278" s="1390" t="s">
        <v>2647</v>
      </c>
      <c r="Z278" s="1391"/>
      <c r="AA278" s="1391"/>
      <c r="AB278" s="1391"/>
      <c r="AC278" s="1391"/>
      <c r="AD278" s="1391"/>
      <c r="BN278" s="34"/>
    </row>
    <row r="279" spans="1:66" ht="12.95" customHeight="1">
      <c r="D279" s="4" t="s">
        <v>90</v>
      </c>
      <c r="E279" s="4"/>
      <c r="F279" s="4"/>
      <c r="L279" s="1770" t="s">
        <v>2663</v>
      </c>
      <c r="M279" s="1770"/>
      <c r="N279" s="1770"/>
      <c r="O279" s="1770"/>
      <c r="P279" s="1770"/>
      <c r="Q279" s="1770"/>
      <c r="R279" s="1770"/>
      <c r="S279" s="1770"/>
      <c r="T279" s="1770"/>
      <c r="U279" s="1770"/>
      <c r="V279" s="1770"/>
      <c r="W279" s="1770"/>
      <c r="X279" s="1770"/>
      <c r="Y279" s="1770"/>
      <c r="Z279" s="1770"/>
      <c r="AA279" s="1770"/>
      <c r="AB279" s="1770"/>
      <c r="AC279" s="1770"/>
      <c r="AD279" s="1770"/>
      <c r="AF279" s="4"/>
      <c r="AG279" s="4"/>
      <c r="AH279" s="4"/>
      <c r="AI279" s="4"/>
      <c r="AJ279" s="4"/>
      <c r="AU279" s="3"/>
      <c r="AV279" s="3"/>
      <c r="AW279" s="3"/>
      <c r="AX279" s="3"/>
      <c r="AY279" s="3"/>
      <c r="BN279" s="34"/>
    </row>
    <row r="280" spans="1:66" ht="12.95" customHeight="1">
      <c r="D280" s="3" t="s">
        <v>630</v>
      </c>
      <c r="E280" s="3"/>
      <c r="F280" s="3"/>
      <c r="G280" s="3"/>
      <c r="H280" s="3"/>
      <c r="I280" s="3"/>
      <c r="L280" s="1593" t="s">
        <v>2664</v>
      </c>
      <c r="M280" s="1593"/>
      <c r="N280" s="1593"/>
      <c r="O280" s="1593"/>
      <c r="P280" s="1593"/>
      <c r="Q280" s="1593"/>
      <c r="R280" s="1593"/>
      <c r="S280" s="1593"/>
      <c r="T280" s="1593"/>
      <c r="U280" s="1593"/>
      <c r="V280" s="1593"/>
      <c r="W280" s="1593"/>
      <c r="X280" s="1593"/>
      <c r="Y280" s="1593"/>
      <c r="Z280" s="1593"/>
      <c r="AA280" s="1593"/>
      <c r="AB280" s="1593"/>
      <c r="AC280" s="1593"/>
      <c r="AD280" s="159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40" t="s">
        <v>548</v>
      </c>
      <c r="B282" s="1440"/>
      <c r="C282" s="1440"/>
      <c r="D282" s="1440"/>
      <c r="E282" s="1440"/>
      <c r="F282" s="1440"/>
      <c r="G282" s="1440"/>
      <c r="H282" s="1440"/>
      <c r="I282" s="1440"/>
      <c r="J282" s="1440"/>
      <c r="K282" s="1440"/>
      <c r="L282" s="1440"/>
      <c r="M282" s="1440"/>
      <c r="N282" s="1440"/>
      <c r="O282" s="1440"/>
      <c r="P282" s="1440"/>
      <c r="Q282" s="1440"/>
      <c r="R282" s="1440"/>
      <c r="S282" s="1440"/>
      <c r="T282" s="1440"/>
      <c r="U282" s="1440"/>
      <c r="V282" s="1440"/>
      <c r="W282" s="1440"/>
      <c r="X282" s="1440"/>
      <c r="Y282" s="1440"/>
      <c r="Z282" s="1440"/>
      <c r="AA282" s="1440"/>
      <c r="AB282" s="1440"/>
      <c r="AC282" s="1440"/>
      <c r="AD282" s="1440"/>
      <c r="AE282" s="1440"/>
      <c r="AF282" s="1440"/>
      <c r="AG282" s="1440"/>
      <c r="AH282" s="1440"/>
      <c r="AI282" s="1440"/>
      <c r="AJ282" s="1440"/>
      <c r="AK282" s="1440"/>
      <c r="AL282" s="1440"/>
      <c r="AM282" s="1440"/>
      <c r="AN282" s="1440"/>
      <c r="AO282" s="1440"/>
      <c r="AP282" s="1440"/>
      <c r="AQ282" s="1440"/>
      <c r="AR282" s="1440"/>
      <c r="AS282" s="1440"/>
      <c r="AT282" s="1440"/>
      <c r="AU282" s="95"/>
      <c r="AV282" s="95"/>
      <c r="AW282" s="95"/>
      <c r="AX282" s="95"/>
      <c r="AY282" s="95"/>
      <c r="BN282" s="34"/>
    </row>
    <row r="283" spans="1:66" ht="12.95" customHeight="1">
      <c r="A283" s="1440"/>
      <c r="B283" s="1440"/>
      <c r="C283" s="1440"/>
      <c r="D283" s="1440"/>
      <c r="E283" s="1440"/>
      <c r="F283" s="1440"/>
      <c r="G283" s="1440"/>
      <c r="H283" s="1440"/>
      <c r="I283" s="1440"/>
      <c r="J283" s="1440"/>
      <c r="K283" s="1440"/>
      <c r="L283" s="1440"/>
      <c r="M283" s="1440"/>
      <c r="N283" s="1440"/>
      <c r="O283" s="1440"/>
      <c r="P283" s="1440"/>
      <c r="Q283" s="1440"/>
      <c r="R283" s="1440"/>
      <c r="S283" s="1440"/>
      <c r="T283" s="1440"/>
      <c r="U283" s="1440"/>
      <c r="V283" s="1440"/>
      <c r="W283" s="1440"/>
      <c r="X283" s="1440"/>
      <c r="Y283" s="1440"/>
      <c r="Z283" s="1440"/>
      <c r="AA283" s="1440"/>
      <c r="AB283" s="1440"/>
      <c r="AC283" s="1440"/>
      <c r="AD283" s="1440"/>
      <c r="AE283" s="1440"/>
      <c r="AF283" s="1440"/>
      <c r="AG283" s="1440"/>
      <c r="AH283" s="1440"/>
      <c r="AI283" s="1440"/>
      <c r="AJ283" s="1440"/>
      <c r="AK283" s="1440"/>
      <c r="AL283" s="1440"/>
      <c r="AM283" s="1440"/>
      <c r="AN283" s="1440"/>
      <c r="AO283" s="1440"/>
      <c r="AP283" s="1440"/>
      <c r="AQ283" s="1440"/>
      <c r="AR283" s="1440"/>
      <c r="AS283" s="1440"/>
      <c r="AT283" s="144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0" t="s">
        <v>2660</v>
      </c>
      <c r="I287" s="1380"/>
      <c r="J287" s="1380"/>
      <c r="K287" s="1380"/>
      <c r="L287" s="1380"/>
      <c r="M287" s="1380"/>
      <c r="N287" s="1380"/>
      <c r="O287" s="1380"/>
      <c r="P287" s="1380"/>
      <c r="Q287" s="1380"/>
      <c r="R287" s="1380"/>
      <c r="T287" s="3" t="s">
        <v>574</v>
      </c>
      <c r="V287" s="3"/>
      <c r="W287" s="3"/>
      <c r="X287" s="3"/>
      <c r="Y287" s="3"/>
      <c r="AA287" s="1380" t="s">
        <v>2665</v>
      </c>
      <c r="AB287" s="1380"/>
      <c r="AC287" s="1380"/>
      <c r="AD287" s="1380"/>
      <c r="AE287" s="1380"/>
      <c r="AF287" s="1380"/>
      <c r="AG287" s="1380"/>
      <c r="AH287" s="1380"/>
      <c r="AI287" s="1380"/>
      <c r="AJ287" s="1380"/>
      <c r="AK287" s="1380"/>
      <c r="BN287" s="34"/>
    </row>
    <row r="288" spans="1:66" ht="12.95" customHeight="1">
      <c r="B288" s="3" t="s">
        <v>478</v>
      </c>
      <c r="C288" s="3"/>
      <c r="D288" s="3"/>
      <c r="E288" s="3"/>
      <c r="F288" s="3"/>
      <c r="H288" s="1434" t="s">
        <v>2644</v>
      </c>
      <c r="I288" s="1434"/>
      <c r="J288" s="1434"/>
      <c r="K288" s="1434"/>
      <c r="L288" s="1434"/>
      <c r="M288" s="1434"/>
      <c r="N288" s="1434"/>
      <c r="O288" s="1434"/>
      <c r="P288" s="1434"/>
      <c r="Q288" s="1434"/>
      <c r="R288" s="1434"/>
      <c r="T288" s="3" t="s">
        <v>478</v>
      </c>
      <c r="V288" s="3"/>
      <c r="W288" s="3"/>
      <c r="X288" s="3"/>
      <c r="Y288" s="3"/>
      <c r="AA288" s="1434" t="s">
        <v>2666</v>
      </c>
      <c r="AB288" s="1434"/>
      <c r="AC288" s="1434"/>
      <c r="AD288" s="1434"/>
      <c r="AE288" s="1434"/>
      <c r="AF288" s="1434"/>
      <c r="AG288" s="1434"/>
      <c r="AH288" s="1434"/>
      <c r="AI288" s="1434"/>
      <c r="AJ288" s="1434"/>
      <c r="AK288" s="1434"/>
      <c r="BN288" s="34"/>
    </row>
    <row r="289" spans="2:66" ht="12.95" customHeight="1">
      <c r="B289" s="3" t="s">
        <v>479</v>
      </c>
      <c r="C289" s="3"/>
      <c r="D289" s="3"/>
      <c r="E289" s="3"/>
      <c r="F289" s="3"/>
      <c r="H289" s="1434" t="s">
        <v>2667</v>
      </c>
      <c r="I289" s="1434"/>
      <c r="J289" s="1434"/>
      <c r="K289" s="1434"/>
      <c r="L289" s="1434"/>
      <c r="M289" s="1434"/>
      <c r="N289" s="1434"/>
      <c r="O289" s="1434"/>
      <c r="P289" s="1434"/>
      <c r="Q289" s="1434"/>
      <c r="R289" s="1434"/>
      <c r="T289" s="3" t="s">
        <v>75</v>
      </c>
      <c r="V289" s="3"/>
      <c r="W289" s="3"/>
      <c r="X289" s="3"/>
      <c r="Y289" s="3"/>
      <c r="AA289" s="1434" t="s">
        <v>2668</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4" t="s">
        <v>2642</v>
      </c>
      <c r="I290" s="1434"/>
      <c r="J290" s="1434"/>
      <c r="K290" s="1434"/>
      <c r="L290" s="1434"/>
      <c r="M290" s="1434"/>
      <c r="N290" s="1434"/>
      <c r="O290" s="1434"/>
      <c r="P290" s="1434"/>
      <c r="Q290" s="1434"/>
      <c r="R290" s="1434"/>
      <c r="T290" s="3" t="s">
        <v>87</v>
      </c>
      <c r="V290" s="3"/>
      <c r="W290" s="3"/>
      <c r="X290" s="3"/>
      <c r="Y290" s="3"/>
      <c r="AA290" s="1434" t="s">
        <v>2669</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441" t="s">
        <v>2646</v>
      </c>
      <c r="I291" s="1442"/>
      <c r="J291" s="1442"/>
      <c r="K291" s="1442"/>
      <c r="L291" s="1442"/>
      <c r="M291" s="1442"/>
      <c r="N291" s="4" t="s">
        <v>206</v>
      </c>
      <c r="O291" s="4"/>
      <c r="P291" s="1399">
        <v>3015</v>
      </c>
      <c r="Q291" s="1399"/>
      <c r="R291" s="1399"/>
      <c r="S291" s="3"/>
      <c r="T291" s="3" t="s">
        <v>88</v>
      </c>
      <c r="V291" s="3"/>
      <c r="W291" s="3"/>
      <c r="X291" s="3"/>
      <c r="Y291" s="3"/>
      <c r="AA291" s="1441" t="s">
        <v>2670</v>
      </c>
      <c r="AB291" s="1442"/>
      <c r="AC291" s="1442"/>
      <c r="AD291" s="1442"/>
      <c r="AE291" s="1442"/>
      <c r="AF291" s="1442"/>
      <c r="AG291" s="4" t="s">
        <v>206</v>
      </c>
      <c r="AH291" s="4"/>
      <c r="AI291" s="1399"/>
      <c r="AJ291" s="1399"/>
      <c r="AK291" s="1399"/>
      <c r="BN291" s="34"/>
    </row>
    <row r="292" spans="2:66" ht="12.95" customHeight="1">
      <c r="B292" s="3" t="s">
        <v>89</v>
      </c>
      <c r="C292" s="3"/>
      <c r="D292" s="3"/>
      <c r="E292" s="3"/>
      <c r="F292" s="3"/>
      <c r="G292" s="3"/>
      <c r="H292" s="1390" t="s">
        <v>2647</v>
      </c>
      <c r="I292" s="1391"/>
      <c r="J292" s="1391"/>
      <c r="K292" s="1391"/>
      <c r="L292" s="1391"/>
      <c r="M292" s="1391"/>
      <c r="N292" s="4"/>
      <c r="O292" s="4"/>
      <c r="P292" s="35"/>
      <c r="Q292" s="35"/>
      <c r="R292" s="35"/>
      <c r="S292" s="3"/>
      <c r="T292" s="3" t="s">
        <v>89</v>
      </c>
      <c r="V292" s="3"/>
      <c r="W292" s="3"/>
      <c r="X292" s="3"/>
      <c r="Y292" s="3"/>
      <c r="AA292" s="1390" t="s">
        <v>2671</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34" t="s">
        <v>2648</v>
      </c>
      <c r="I293" s="1434"/>
      <c r="J293" s="1434"/>
      <c r="K293" s="1434"/>
      <c r="L293" s="1434"/>
      <c r="M293" s="1434"/>
      <c r="N293" s="1380"/>
      <c r="O293" s="1380"/>
      <c r="P293" s="1380"/>
      <c r="Q293" s="1380"/>
      <c r="R293" s="1380"/>
      <c r="S293" s="3"/>
      <c r="T293" s="3" t="s">
        <v>76</v>
      </c>
      <c r="V293" s="3"/>
      <c r="W293" s="3"/>
      <c r="X293" s="3"/>
      <c r="Y293" s="3"/>
      <c r="AA293" s="1434" t="s">
        <v>2672</v>
      </c>
      <c r="AB293" s="1434"/>
      <c r="AC293" s="1434"/>
      <c r="AD293" s="1434"/>
      <c r="AE293" s="1434"/>
      <c r="AF293" s="1434"/>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2673</v>
      </c>
      <c r="I295" s="1380"/>
      <c r="J295" s="1380"/>
      <c r="K295" s="1380"/>
      <c r="L295" s="1380"/>
      <c r="M295" s="1380"/>
      <c r="N295" s="1380"/>
      <c r="O295" s="1380"/>
      <c r="P295" s="1380"/>
      <c r="Q295" s="1380"/>
      <c r="R295" s="1380"/>
      <c r="T295" s="3" t="s">
        <v>364</v>
      </c>
      <c r="V295" s="3"/>
      <c r="W295" s="3"/>
      <c r="X295" s="3"/>
      <c r="Y295" s="3"/>
      <c r="AA295" s="1380" t="s">
        <v>2674</v>
      </c>
      <c r="AB295" s="1380"/>
      <c r="AC295" s="1380"/>
      <c r="AD295" s="1380"/>
      <c r="AE295" s="1380"/>
      <c r="AF295" s="1380"/>
      <c r="AG295" s="1380"/>
      <c r="AH295" s="1380"/>
      <c r="AI295" s="1380"/>
      <c r="AJ295" s="1380"/>
      <c r="AK295" s="1380"/>
      <c r="BN295" s="34"/>
    </row>
    <row r="296" spans="2:66" ht="12.95" customHeight="1">
      <c r="B296" s="3" t="s">
        <v>478</v>
      </c>
      <c r="C296" s="3"/>
      <c r="D296" s="3"/>
      <c r="E296" s="3"/>
      <c r="F296" s="3"/>
      <c r="H296" s="1434" t="s">
        <v>2675</v>
      </c>
      <c r="I296" s="1434"/>
      <c r="J296" s="1434"/>
      <c r="K296" s="1434"/>
      <c r="L296" s="1434"/>
      <c r="M296" s="1434"/>
      <c r="N296" s="1434"/>
      <c r="O296" s="1434"/>
      <c r="P296" s="1434"/>
      <c r="Q296" s="1434"/>
      <c r="R296" s="1434"/>
      <c r="T296" s="3" t="s">
        <v>478</v>
      </c>
      <c r="V296" s="3"/>
      <c r="W296" s="3"/>
      <c r="X296" s="3"/>
      <c r="Y296" s="3"/>
      <c r="AA296" s="1434" t="s">
        <v>2644</v>
      </c>
      <c r="AB296" s="1434"/>
      <c r="AC296" s="1434"/>
      <c r="AD296" s="1434"/>
      <c r="AE296" s="1434"/>
      <c r="AF296" s="1434"/>
      <c r="AG296" s="1434"/>
      <c r="AH296" s="1434"/>
      <c r="AI296" s="1434"/>
      <c r="AJ296" s="1434"/>
      <c r="AK296" s="1434"/>
      <c r="BN296" s="34"/>
    </row>
    <row r="297" spans="2:66" ht="12.95" customHeight="1">
      <c r="B297" s="3" t="s">
        <v>479</v>
      </c>
      <c r="C297" s="3"/>
      <c r="D297" s="3"/>
      <c r="E297" s="3"/>
      <c r="F297" s="3"/>
      <c r="H297" s="1434" t="s">
        <v>2667</v>
      </c>
      <c r="I297" s="1434"/>
      <c r="J297" s="1434"/>
      <c r="K297" s="1434"/>
      <c r="L297" s="1434"/>
      <c r="M297" s="1434"/>
      <c r="N297" s="1434"/>
      <c r="O297" s="1434"/>
      <c r="P297" s="1434"/>
      <c r="Q297" s="1434"/>
      <c r="R297" s="1434"/>
      <c r="T297" s="3" t="s">
        <v>75</v>
      </c>
      <c r="V297" s="3"/>
      <c r="W297" s="3"/>
      <c r="X297" s="3"/>
      <c r="Y297" s="3"/>
      <c r="AA297" s="1434" t="s">
        <v>2667</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2676</v>
      </c>
      <c r="I298" s="1434"/>
      <c r="J298" s="1434"/>
      <c r="K298" s="1434"/>
      <c r="L298" s="1434"/>
      <c r="M298" s="1434"/>
      <c r="N298" s="1434"/>
      <c r="O298" s="1434"/>
      <c r="P298" s="1434"/>
      <c r="Q298" s="1434"/>
      <c r="R298" s="1434"/>
      <c r="T298" s="3" t="s">
        <v>87</v>
      </c>
      <c r="V298" s="3"/>
      <c r="W298" s="3"/>
      <c r="X298" s="3"/>
      <c r="Y298" s="3"/>
      <c r="AA298" s="1434" t="s">
        <v>2642</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441" t="s">
        <v>2677</v>
      </c>
      <c r="I299" s="1442"/>
      <c r="J299" s="1442"/>
      <c r="K299" s="1442"/>
      <c r="L299" s="1442"/>
      <c r="M299" s="1442"/>
      <c r="N299" s="4" t="s">
        <v>206</v>
      </c>
      <c r="O299" s="4"/>
      <c r="P299" s="1399"/>
      <c r="Q299" s="1399"/>
      <c r="R299" s="1399"/>
      <c r="S299" s="3"/>
      <c r="T299" s="3" t="s">
        <v>88</v>
      </c>
      <c r="V299" s="3"/>
      <c r="W299" s="3"/>
      <c r="X299" s="3"/>
      <c r="Y299" s="3"/>
      <c r="AA299" s="1441" t="s">
        <v>2646</v>
      </c>
      <c r="AB299" s="1442"/>
      <c r="AC299" s="1442"/>
      <c r="AD299" s="1442"/>
      <c r="AE299" s="1442"/>
      <c r="AF299" s="1442"/>
      <c r="AG299" s="4" t="s">
        <v>206</v>
      </c>
      <c r="AH299" s="4"/>
      <c r="AI299" s="1399">
        <v>3015</v>
      </c>
      <c r="AJ299" s="1399"/>
      <c r="AK299" s="1399"/>
      <c r="BN299" s="34"/>
    </row>
    <row r="300" spans="2:66" ht="12.95" customHeight="1">
      <c r="B300" s="3" t="s">
        <v>89</v>
      </c>
      <c r="C300" s="3"/>
      <c r="D300" s="3"/>
      <c r="E300" s="3"/>
      <c r="F300" s="3"/>
      <c r="G300" s="3"/>
      <c r="H300" s="1390" t="s">
        <v>2647</v>
      </c>
      <c r="I300" s="1391"/>
      <c r="J300" s="1391"/>
      <c r="K300" s="1391"/>
      <c r="L300" s="1391"/>
      <c r="M300" s="1391"/>
      <c r="N300" s="4"/>
      <c r="O300" s="4"/>
      <c r="P300" s="35"/>
      <c r="Q300" s="35"/>
      <c r="R300" s="35"/>
      <c r="S300" s="3"/>
      <c r="T300" s="3" t="s">
        <v>89</v>
      </c>
      <c r="V300" s="3"/>
      <c r="W300" s="3"/>
      <c r="X300" s="3"/>
      <c r="Y300" s="3"/>
      <c r="AA300" s="1390" t="s">
        <v>2678</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34" t="s">
        <v>2679</v>
      </c>
      <c r="I301" s="1434"/>
      <c r="J301" s="1434"/>
      <c r="K301" s="1434"/>
      <c r="L301" s="1434"/>
      <c r="M301" s="1434"/>
      <c r="N301" s="1380"/>
      <c r="O301" s="1380"/>
      <c r="P301" s="1380"/>
      <c r="Q301" s="1380"/>
      <c r="R301" s="1380"/>
      <c r="S301" s="3"/>
      <c r="T301" s="3" t="s">
        <v>76</v>
      </c>
      <c r="V301" s="3"/>
      <c r="W301" s="3"/>
      <c r="X301" s="3"/>
      <c r="Y301" s="3"/>
      <c r="AA301" s="1434" t="s">
        <v>2648</v>
      </c>
      <c r="AB301" s="1434"/>
      <c r="AC301" s="1434"/>
      <c r="AD301" s="1434"/>
      <c r="AE301" s="1434"/>
      <c r="AF301" s="1434"/>
      <c r="AG301" s="1380"/>
      <c r="AH301" s="1380"/>
      <c r="AI301" s="1380"/>
      <c r="AJ301" s="1380"/>
      <c r="AK301" s="1380"/>
      <c r="BN301" s="34"/>
    </row>
    <row r="302" spans="2:66" ht="12.95" customHeight="1">
      <c r="BN302" s="34"/>
    </row>
    <row r="303" spans="2:66" ht="12.95" customHeight="1">
      <c r="B303" s="3" t="s">
        <v>77</v>
      </c>
      <c r="C303" s="3"/>
      <c r="D303" s="3"/>
      <c r="E303" s="3"/>
      <c r="F303" s="3"/>
      <c r="H303" s="1380" t="s">
        <v>2680</v>
      </c>
      <c r="I303" s="1380"/>
      <c r="J303" s="1380"/>
      <c r="K303" s="1380"/>
      <c r="L303" s="1380"/>
      <c r="M303" s="1380"/>
      <c r="N303" s="1380"/>
      <c r="O303" s="1380"/>
      <c r="P303" s="1380"/>
      <c r="Q303" s="1380"/>
      <c r="R303" s="1380"/>
      <c r="T303" s="4" t="s">
        <v>888</v>
      </c>
      <c r="V303" s="3"/>
      <c r="W303" s="3"/>
      <c r="X303" s="3"/>
      <c r="Y303" s="3"/>
      <c r="AA303" s="1380" t="s">
        <v>2761</v>
      </c>
      <c r="AB303" s="1380"/>
      <c r="AC303" s="1380"/>
      <c r="AD303" s="1380"/>
      <c r="AE303" s="1380"/>
      <c r="AF303" s="1380"/>
      <c r="AG303" s="1380"/>
      <c r="AH303" s="1380"/>
      <c r="AI303" s="1380"/>
      <c r="AJ303" s="1380"/>
      <c r="AK303" s="1380"/>
      <c r="BN303" s="34"/>
    </row>
    <row r="304" spans="2:66" ht="12.95" customHeight="1">
      <c r="B304" s="3" t="s">
        <v>478</v>
      </c>
      <c r="C304" s="3"/>
      <c r="D304" s="3"/>
      <c r="E304" s="3"/>
      <c r="F304" s="3"/>
      <c r="H304" s="1434" t="s">
        <v>2681</v>
      </c>
      <c r="I304" s="1434"/>
      <c r="J304" s="1434"/>
      <c r="K304" s="1434"/>
      <c r="L304" s="1434"/>
      <c r="M304" s="1434"/>
      <c r="N304" s="1434"/>
      <c r="O304" s="1434"/>
      <c r="P304" s="1434"/>
      <c r="Q304" s="1434"/>
      <c r="R304" s="1434"/>
      <c r="T304" s="3" t="s">
        <v>478</v>
      </c>
      <c r="V304" s="3"/>
      <c r="W304" s="3"/>
      <c r="X304" s="3"/>
      <c r="Y304" s="3"/>
      <c r="AA304" s="1434" t="s">
        <v>2762</v>
      </c>
      <c r="AB304" s="1434"/>
      <c r="AC304" s="1434"/>
      <c r="AD304" s="1434"/>
      <c r="AE304" s="1434"/>
      <c r="AF304" s="1434"/>
      <c r="AG304" s="1434"/>
      <c r="AH304" s="1434"/>
      <c r="AI304" s="1434"/>
      <c r="AJ304" s="1434"/>
      <c r="AK304" s="1434"/>
      <c r="BN304" s="34"/>
    </row>
    <row r="305" spans="2:66" ht="12.95" customHeight="1">
      <c r="B305" s="3" t="s">
        <v>479</v>
      </c>
      <c r="C305" s="3"/>
      <c r="D305" s="3"/>
      <c r="E305" s="3"/>
      <c r="F305" s="3"/>
      <c r="H305" s="1434" t="s">
        <v>2682</v>
      </c>
      <c r="I305" s="1434"/>
      <c r="J305" s="1434"/>
      <c r="K305" s="1434"/>
      <c r="L305" s="1434"/>
      <c r="M305" s="1434"/>
      <c r="N305" s="1434"/>
      <c r="O305" s="1434"/>
      <c r="P305" s="1434"/>
      <c r="Q305" s="1434"/>
      <c r="R305" s="1434"/>
      <c r="T305" s="3" t="s">
        <v>75</v>
      </c>
      <c r="V305" s="3"/>
      <c r="W305" s="3"/>
      <c r="X305" s="3"/>
      <c r="Y305" s="3"/>
      <c r="AA305" s="1434" t="s">
        <v>2763</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2683</v>
      </c>
      <c r="I306" s="1434"/>
      <c r="J306" s="1434"/>
      <c r="K306" s="1434"/>
      <c r="L306" s="1434"/>
      <c r="M306" s="1434"/>
      <c r="N306" s="1434"/>
      <c r="O306" s="1434"/>
      <c r="P306" s="1434"/>
      <c r="Q306" s="1434"/>
      <c r="R306" s="1434"/>
      <c r="T306" s="3" t="s">
        <v>87</v>
      </c>
      <c r="V306" s="3"/>
      <c r="W306" s="3"/>
      <c r="X306" s="3"/>
      <c r="Y306" s="3"/>
      <c r="AA306" s="1434" t="s">
        <v>2764</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441" t="s">
        <v>2684</v>
      </c>
      <c r="I307" s="1442"/>
      <c r="J307" s="1442"/>
      <c r="K307" s="1442"/>
      <c r="L307" s="1442"/>
      <c r="M307" s="1442"/>
      <c r="N307" s="4" t="s">
        <v>206</v>
      </c>
      <c r="O307" s="4"/>
      <c r="P307" s="1399"/>
      <c r="Q307" s="1399"/>
      <c r="R307" s="1399"/>
      <c r="S307" s="3"/>
      <c r="T307" s="3" t="s">
        <v>88</v>
      </c>
      <c r="V307" s="3"/>
      <c r="W307" s="3"/>
      <c r="X307" s="3"/>
      <c r="Y307" s="3"/>
      <c r="AA307" s="1441" t="s">
        <v>2765</v>
      </c>
      <c r="AB307" s="1442"/>
      <c r="AC307" s="1442"/>
      <c r="AD307" s="1442"/>
      <c r="AE307" s="1442"/>
      <c r="AF307" s="1442"/>
      <c r="AG307" s="4" t="s">
        <v>206</v>
      </c>
      <c r="AH307" s="4"/>
      <c r="AI307" s="1399"/>
      <c r="AJ307" s="1399"/>
      <c r="AK307" s="1399"/>
      <c r="BN307" s="34"/>
    </row>
    <row r="308" spans="2:66" ht="12.95" customHeight="1">
      <c r="B308" s="3" t="s">
        <v>89</v>
      </c>
      <c r="C308" s="3"/>
      <c r="D308" s="3"/>
      <c r="E308" s="3"/>
      <c r="F308" s="3"/>
      <c r="G308" s="3"/>
      <c r="H308" s="1390" t="s">
        <v>2685</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34" t="s">
        <v>2686</v>
      </c>
      <c r="I309" s="1434"/>
      <c r="J309" s="1434"/>
      <c r="K309" s="1434"/>
      <c r="L309" s="1434"/>
      <c r="M309" s="1434"/>
      <c r="N309" s="1380"/>
      <c r="O309" s="1380"/>
      <c r="P309" s="1380"/>
      <c r="Q309" s="1380"/>
      <c r="R309" s="1380"/>
      <c r="S309" s="3"/>
      <c r="T309" s="3" t="s">
        <v>76</v>
      </c>
      <c r="V309" s="3"/>
      <c r="W309" s="3"/>
      <c r="X309" s="3"/>
      <c r="Y309" s="3"/>
      <c r="AA309" s="1434" t="s">
        <v>2766</v>
      </c>
      <c r="AB309" s="1434"/>
      <c r="AC309" s="1434"/>
      <c r="AD309" s="1434"/>
      <c r="AE309" s="1434"/>
      <c r="AF309" s="1434"/>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380" t="s">
        <v>2680</v>
      </c>
      <c r="I311" s="1380"/>
      <c r="J311" s="1380"/>
      <c r="K311" s="1380"/>
      <c r="L311" s="1380"/>
      <c r="M311" s="1380"/>
      <c r="N311" s="1380"/>
      <c r="O311" s="1380"/>
      <c r="P311" s="1380"/>
      <c r="Q311" s="1380"/>
      <c r="R311" s="1380"/>
      <c r="S311" s="3"/>
      <c r="T311" s="3" t="s">
        <v>365</v>
      </c>
      <c r="V311" s="3"/>
      <c r="W311" s="3"/>
      <c r="X311" s="3"/>
      <c r="Y311" s="3"/>
      <c r="AA311" s="1380" t="s">
        <v>2687</v>
      </c>
      <c r="AB311" s="1380"/>
      <c r="AC311" s="1380"/>
      <c r="AD311" s="1380"/>
      <c r="AE311" s="1380"/>
      <c r="AF311" s="1380"/>
      <c r="AG311" s="1380"/>
      <c r="AH311" s="1380"/>
      <c r="AI311" s="1380"/>
      <c r="AJ311" s="1380"/>
      <c r="AK311" s="1380"/>
      <c r="BN311" s="34"/>
    </row>
    <row r="312" spans="2:66" ht="12.95" customHeight="1">
      <c r="B312" s="3" t="s">
        <v>478</v>
      </c>
      <c r="C312" s="3"/>
      <c r="D312" s="3"/>
      <c r="E312" s="3"/>
      <c r="F312" s="3"/>
      <c r="H312" s="1434" t="s">
        <v>2681</v>
      </c>
      <c r="I312" s="1434"/>
      <c r="J312" s="1434"/>
      <c r="K312" s="1434"/>
      <c r="L312" s="1434"/>
      <c r="M312" s="1434"/>
      <c r="N312" s="1434"/>
      <c r="O312" s="1434"/>
      <c r="P312" s="1434"/>
      <c r="Q312" s="1434"/>
      <c r="R312" s="1434"/>
      <c r="S312" s="3"/>
      <c r="T312" s="3" t="s">
        <v>478</v>
      </c>
      <c r="V312" s="3"/>
      <c r="W312" s="3"/>
      <c r="X312" s="3"/>
      <c r="Y312" s="3"/>
      <c r="AA312" s="1434" t="s">
        <v>2688</v>
      </c>
      <c r="AB312" s="1434"/>
      <c r="AC312" s="1434"/>
      <c r="AD312" s="1434"/>
      <c r="AE312" s="1434"/>
      <c r="AF312" s="1434"/>
      <c r="AG312" s="1434"/>
      <c r="AH312" s="1434"/>
      <c r="AI312" s="1434"/>
      <c r="AJ312" s="1434"/>
      <c r="AK312" s="1434"/>
      <c r="BN312" s="34"/>
    </row>
    <row r="313" spans="2:66" ht="12.95" customHeight="1">
      <c r="B313" s="3" t="s">
        <v>479</v>
      </c>
      <c r="C313" s="3"/>
      <c r="D313" s="3"/>
      <c r="E313" s="3"/>
      <c r="F313" s="3"/>
      <c r="H313" s="1434" t="s">
        <v>2682</v>
      </c>
      <c r="I313" s="1434"/>
      <c r="J313" s="1434"/>
      <c r="K313" s="1434"/>
      <c r="L313" s="1434"/>
      <c r="M313" s="1434"/>
      <c r="N313" s="1434"/>
      <c r="O313" s="1434"/>
      <c r="P313" s="1434"/>
      <c r="Q313" s="1434"/>
      <c r="R313" s="1434"/>
      <c r="S313" s="3"/>
      <c r="T313" s="3" t="s">
        <v>75</v>
      </c>
      <c r="V313" s="3"/>
      <c r="W313" s="3"/>
      <c r="X313" s="3"/>
      <c r="Y313" s="3"/>
      <c r="AA313" s="1434" t="s">
        <v>2689</v>
      </c>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2683</v>
      </c>
      <c r="I314" s="1434"/>
      <c r="J314" s="1434"/>
      <c r="K314" s="1434"/>
      <c r="L314" s="1434"/>
      <c r="M314" s="1434"/>
      <c r="N314" s="1434"/>
      <c r="O314" s="1434"/>
      <c r="P314" s="1434"/>
      <c r="Q314" s="1434"/>
      <c r="R314" s="1434"/>
      <c r="S314" s="3"/>
      <c r="T314" s="3" t="s">
        <v>87</v>
      </c>
      <c r="V314" s="3"/>
      <c r="W314" s="3"/>
      <c r="X314" s="3"/>
      <c r="Y314" s="3"/>
      <c r="AA314" s="1434" t="s">
        <v>2690</v>
      </c>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441" t="s">
        <v>2684</v>
      </c>
      <c r="I315" s="1442"/>
      <c r="J315" s="1442"/>
      <c r="K315" s="1442"/>
      <c r="L315" s="1442"/>
      <c r="M315" s="1442"/>
      <c r="N315" s="4" t="s">
        <v>206</v>
      </c>
      <c r="O315" s="4"/>
      <c r="P315" s="1399"/>
      <c r="Q315" s="1399"/>
      <c r="R315" s="1399"/>
      <c r="S315" s="3"/>
      <c r="T315" s="3" t="s">
        <v>88</v>
      </c>
      <c r="V315" s="3"/>
      <c r="W315" s="3"/>
      <c r="X315" s="3"/>
      <c r="Y315" s="3"/>
      <c r="AA315" s="1441" t="s">
        <v>2691</v>
      </c>
      <c r="AB315" s="1442"/>
      <c r="AC315" s="1442"/>
      <c r="AD315" s="1442"/>
      <c r="AE315" s="1442"/>
      <c r="AF315" s="1442"/>
      <c r="AG315" s="4" t="s">
        <v>206</v>
      </c>
      <c r="AH315" s="4"/>
      <c r="AI315" s="1399"/>
      <c r="AJ315" s="1399"/>
      <c r="AK315" s="1399"/>
      <c r="BN315" s="34"/>
    </row>
    <row r="316" spans="2:66" ht="12.95" customHeight="1">
      <c r="B316" s="3" t="s">
        <v>89</v>
      </c>
      <c r="C316" s="3"/>
      <c r="D316" s="3"/>
      <c r="E316" s="3"/>
      <c r="F316" s="3"/>
      <c r="G316" s="3"/>
      <c r="H316" s="1390" t="s">
        <v>2685</v>
      </c>
      <c r="I316" s="1391"/>
      <c r="J316" s="1391"/>
      <c r="K316" s="1391"/>
      <c r="L316" s="1391"/>
      <c r="M316" s="1391"/>
      <c r="N316" s="4"/>
      <c r="O316" s="4"/>
      <c r="P316" s="35"/>
      <c r="Q316" s="35"/>
      <c r="R316" s="35"/>
      <c r="S316" s="3"/>
      <c r="T316" s="3" t="s">
        <v>89</v>
      </c>
      <c r="V316" s="3"/>
      <c r="W316" s="3"/>
      <c r="X316" s="3"/>
      <c r="Y316" s="3"/>
      <c r="AA316" s="1390" t="s">
        <v>2692</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34" t="s">
        <v>2686</v>
      </c>
      <c r="I317" s="1434"/>
      <c r="J317" s="1434"/>
      <c r="K317" s="1434"/>
      <c r="L317" s="1434"/>
      <c r="M317" s="1434"/>
      <c r="N317" s="1380"/>
      <c r="O317" s="1380"/>
      <c r="P317" s="1380"/>
      <c r="Q317" s="1380"/>
      <c r="R317" s="1380"/>
      <c r="S317" s="3"/>
      <c r="T317" s="3" t="s">
        <v>76</v>
      </c>
      <c r="V317" s="3"/>
      <c r="W317" s="3"/>
      <c r="X317" s="3"/>
      <c r="Y317" s="3"/>
      <c r="AA317" s="1434" t="s">
        <v>2693</v>
      </c>
      <c r="AB317" s="1434"/>
      <c r="AC317" s="1434"/>
      <c r="AD317" s="1434"/>
      <c r="AE317" s="1434"/>
      <c r="AF317" s="1434"/>
      <c r="AG317" s="1380"/>
      <c r="AH317" s="1380"/>
      <c r="AI317" s="1380"/>
      <c r="AJ317" s="1380"/>
      <c r="AK317" s="1380"/>
      <c r="BN317" s="34"/>
    </row>
    <row r="318" spans="2:66" ht="12.95" customHeight="1">
      <c r="BN318" s="34"/>
    </row>
    <row r="319" spans="2:66" ht="12.95" customHeight="1">
      <c r="B319" s="4" t="s">
        <v>921</v>
      </c>
      <c r="C319" s="3"/>
      <c r="D319" s="3"/>
      <c r="E319" s="3"/>
      <c r="F319" s="3"/>
      <c r="H319" s="1380" t="s">
        <v>2639</v>
      </c>
      <c r="I319" s="1380"/>
      <c r="J319" s="1380"/>
      <c r="K319" s="1380"/>
      <c r="L319" s="1380"/>
      <c r="M319" s="1380"/>
      <c r="N319" s="1380"/>
      <c r="O319" s="1380"/>
      <c r="P319" s="1380"/>
      <c r="Q319" s="1380"/>
      <c r="R319" s="1380"/>
      <c r="T319" s="3" t="s">
        <v>366</v>
      </c>
      <c r="V319" s="3"/>
      <c r="W319" s="3"/>
      <c r="X319" s="3"/>
      <c r="Y319" s="3"/>
      <c r="AA319" s="1380" t="s">
        <v>2694</v>
      </c>
      <c r="AB319" s="1380"/>
      <c r="AC319" s="1380"/>
      <c r="AD319" s="1380"/>
      <c r="AE319" s="1380"/>
      <c r="AF319" s="1380"/>
      <c r="AG319" s="1380"/>
      <c r="AH319" s="1380"/>
      <c r="AI319" s="1380"/>
      <c r="AJ319" s="1380"/>
      <c r="AK319" s="1380"/>
      <c r="BN319" s="34"/>
    </row>
    <row r="320" spans="2:66" ht="12.95" customHeight="1">
      <c r="B320" s="3" t="s">
        <v>478</v>
      </c>
      <c r="C320" s="3"/>
      <c r="D320" s="3"/>
      <c r="E320" s="3"/>
      <c r="F320" s="3"/>
      <c r="H320" s="1434"/>
      <c r="I320" s="1434"/>
      <c r="J320" s="1434"/>
      <c r="K320" s="1434"/>
      <c r="L320" s="1434"/>
      <c r="M320" s="1434"/>
      <c r="N320" s="1434"/>
      <c r="O320" s="1434"/>
      <c r="P320" s="1434"/>
      <c r="Q320" s="1434"/>
      <c r="R320" s="1434"/>
      <c r="T320" s="3" t="s">
        <v>478</v>
      </c>
      <c r="V320" s="3"/>
      <c r="W320" s="3"/>
      <c r="X320" s="3"/>
      <c r="Y320" s="3"/>
      <c r="AA320" s="1434" t="s">
        <v>2695</v>
      </c>
      <c r="AB320" s="1434"/>
      <c r="AC320" s="1434"/>
      <c r="AD320" s="1434"/>
      <c r="AE320" s="1434"/>
      <c r="AF320" s="1434"/>
      <c r="AG320" s="1434"/>
      <c r="AH320" s="1434"/>
      <c r="AI320" s="1434"/>
      <c r="AJ320" s="1434"/>
      <c r="AK320" s="1434"/>
      <c r="BN320" s="34"/>
    </row>
    <row r="321" spans="2:66" ht="12.95" customHeight="1">
      <c r="B321" s="3" t="s">
        <v>479</v>
      </c>
      <c r="C321" s="3"/>
      <c r="D321" s="3"/>
      <c r="E321" s="3"/>
      <c r="F321" s="3"/>
      <c r="H321" s="1434"/>
      <c r="I321" s="1434"/>
      <c r="J321" s="1434"/>
      <c r="K321" s="1434"/>
      <c r="L321" s="1434"/>
      <c r="M321" s="1434"/>
      <c r="N321" s="1434"/>
      <c r="O321" s="1434"/>
      <c r="P321" s="1434"/>
      <c r="Q321" s="1434"/>
      <c r="R321" s="1434"/>
      <c r="T321" s="3" t="s">
        <v>75</v>
      </c>
      <c r="V321" s="3"/>
      <c r="W321" s="3"/>
      <c r="X321" s="3"/>
      <c r="Y321" s="3"/>
      <c r="AA321" s="1434" t="s">
        <v>2696</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34" t="s">
        <v>2697</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442"/>
      <c r="I323" s="1442"/>
      <c r="J323" s="1442"/>
      <c r="K323" s="1442"/>
      <c r="L323" s="1442"/>
      <c r="M323" s="1442"/>
      <c r="N323" s="4" t="s">
        <v>206</v>
      </c>
      <c r="O323" s="4"/>
      <c r="P323" s="1399"/>
      <c r="Q323" s="1399"/>
      <c r="R323" s="1399"/>
      <c r="S323" s="3"/>
      <c r="T323" s="3" t="s">
        <v>88</v>
      </c>
      <c r="V323" s="3"/>
      <c r="W323" s="3"/>
      <c r="X323" s="3"/>
      <c r="Y323" s="3"/>
      <c r="AA323" s="1441" t="s">
        <v>2698</v>
      </c>
      <c r="AB323" s="1442"/>
      <c r="AC323" s="1442"/>
      <c r="AD323" s="1442"/>
      <c r="AE323" s="1442"/>
      <c r="AF323" s="1442"/>
      <c r="AG323" s="4" t="s">
        <v>206</v>
      </c>
      <c r="AH323" s="4"/>
      <c r="AI323" s="1399"/>
      <c r="AJ323" s="1399"/>
      <c r="AK323" s="1399"/>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34"/>
      <c r="I325" s="1434"/>
      <c r="J325" s="1434"/>
      <c r="K325" s="1434"/>
      <c r="L325" s="1434"/>
      <c r="M325" s="1434"/>
      <c r="N325" s="1380"/>
      <c r="O325" s="1380"/>
      <c r="P325" s="1380"/>
      <c r="Q325" s="1380"/>
      <c r="R325" s="1380"/>
      <c r="S325" s="3"/>
      <c r="T325" s="3" t="s">
        <v>76</v>
      </c>
      <c r="V325" s="3"/>
      <c r="W325" s="3"/>
      <c r="X325" s="3"/>
      <c r="Y325" s="3"/>
      <c r="AA325" s="1434" t="s">
        <v>2699</v>
      </c>
      <c r="AB325" s="1434"/>
      <c r="AC325" s="1434"/>
      <c r="AD325" s="1434"/>
      <c r="AE325" s="1434"/>
      <c r="AF325" s="1434"/>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2639</v>
      </c>
      <c r="I327" s="1380"/>
      <c r="J327" s="1380"/>
      <c r="K327" s="1380"/>
      <c r="L327" s="1380"/>
      <c r="M327" s="1380"/>
      <c r="N327" s="1380"/>
      <c r="O327" s="1380"/>
      <c r="P327" s="1380"/>
      <c r="Q327" s="1380"/>
      <c r="R327" s="1380"/>
      <c r="T327" s="3" t="s">
        <v>368</v>
      </c>
      <c r="V327" s="3"/>
      <c r="W327" s="3"/>
      <c r="X327" s="3"/>
      <c r="Y327" s="3"/>
      <c r="AA327" s="1380" t="s">
        <v>2639</v>
      </c>
      <c r="AB327" s="1380"/>
      <c r="AC327" s="1380"/>
      <c r="AD327" s="1380"/>
      <c r="AE327" s="1380"/>
      <c r="AF327" s="1380"/>
      <c r="AG327" s="1380"/>
      <c r="AH327" s="1380"/>
      <c r="AI327" s="1380"/>
      <c r="AJ327" s="1380"/>
      <c r="AK327" s="1380"/>
    </row>
    <row r="328" spans="2:66" ht="12.95" customHeight="1">
      <c r="B328" s="3" t="s">
        <v>478</v>
      </c>
      <c r="C328" s="3"/>
      <c r="D328" s="3"/>
      <c r="E328" s="3"/>
      <c r="F328" s="3"/>
      <c r="H328" s="1434"/>
      <c r="I328" s="1434"/>
      <c r="J328" s="1434"/>
      <c r="K328" s="1434"/>
      <c r="L328" s="1434"/>
      <c r="M328" s="1434"/>
      <c r="N328" s="1434"/>
      <c r="O328" s="1434"/>
      <c r="P328" s="1434"/>
      <c r="Q328" s="1434"/>
      <c r="R328" s="1434"/>
      <c r="T328" s="3" t="s">
        <v>478</v>
      </c>
      <c r="V328" s="3"/>
      <c r="W328" s="3"/>
      <c r="X328" s="3"/>
      <c r="Y328" s="3"/>
      <c r="AA328" s="1434"/>
      <c r="AB328" s="1434"/>
      <c r="AC328" s="1434"/>
      <c r="AD328" s="1434"/>
      <c r="AE328" s="1434"/>
      <c r="AF328" s="1434"/>
      <c r="AG328" s="1434"/>
      <c r="AH328" s="1434"/>
      <c r="AI328" s="1434"/>
      <c r="AJ328" s="1434"/>
      <c r="AK328" s="1434"/>
    </row>
    <row r="329" spans="2:66" ht="12.95" customHeight="1">
      <c r="B329" s="3" t="s">
        <v>479</v>
      </c>
      <c r="C329" s="3"/>
      <c r="D329" s="3"/>
      <c r="E329" s="3"/>
      <c r="F329" s="3"/>
      <c r="H329" s="1434"/>
      <c r="I329" s="1434"/>
      <c r="J329" s="1434"/>
      <c r="K329" s="1434"/>
      <c r="L329" s="1434"/>
      <c r="M329" s="1434"/>
      <c r="N329" s="1434"/>
      <c r="O329" s="1434"/>
      <c r="P329" s="1434"/>
      <c r="Q329" s="1434"/>
      <c r="R329" s="1434"/>
      <c r="T329" s="3" t="s">
        <v>75</v>
      </c>
      <c r="V329" s="3"/>
      <c r="W329" s="3"/>
      <c r="X329" s="3"/>
      <c r="Y329" s="3"/>
      <c r="AA329" s="1434"/>
      <c r="AB329" s="1434"/>
      <c r="AC329" s="1434"/>
      <c r="AD329" s="1434"/>
      <c r="AE329" s="1434"/>
      <c r="AF329" s="1434"/>
      <c r="AG329" s="1434"/>
      <c r="AH329" s="1434"/>
      <c r="AI329" s="1434"/>
      <c r="AJ329" s="1434"/>
      <c r="AK329" s="1434"/>
    </row>
    <row r="330" spans="2:66" ht="12.95" customHeight="1">
      <c r="B330" s="3" t="s">
        <v>87</v>
      </c>
      <c r="C330" s="3"/>
      <c r="D330" s="3"/>
      <c r="E330" s="3"/>
      <c r="F330" s="3"/>
      <c r="H330" s="1434"/>
      <c r="I330" s="1434"/>
      <c r="J330" s="1434"/>
      <c r="K330" s="1434"/>
      <c r="L330" s="1434"/>
      <c r="M330" s="1434"/>
      <c r="N330" s="1434"/>
      <c r="O330" s="1434"/>
      <c r="P330" s="1434"/>
      <c r="Q330" s="1434"/>
      <c r="R330" s="1434"/>
      <c r="T330" s="3" t="s">
        <v>87</v>
      </c>
      <c r="V330" s="3"/>
      <c r="W330" s="3"/>
      <c r="X330" s="3"/>
      <c r="Y330" s="3"/>
      <c r="AA330" s="1434"/>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441"/>
      <c r="I331" s="1442"/>
      <c r="J331" s="1442"/>
      <c r="K331" s="1442"/>
      <c r="L331" s="1442"/>
      <c r="M331" s="1442"/>
      <c r="N331" s="4" t="s">
        <v>206</v>
      </c>
      <c r="O331" s="4"/>
      <c r="P331" s="1399"/>
      <c r="Q331" s="1399"/>
      <c r="R331" s="1399"/>
      <c r="S331" s="3"/>
      <c r="T331" s="3" t="s">
        <v>88</v>
      </c>
      <c r="V331" s="3"/>
      <c r="W331" s="3"/>
      <c r="X331" s="3"/>
      <c r="Y331" s="3"/>
      <c r="AA331" s="1442"/>
      <c r="AB331" s="1442"/>
      <c r="AC331" s="1442"/>
      <c r="AD331" s="1442"/>
      <c r="AE331" s="1442"/>
      <c r="AF331" s="1442"/>
      <c r="AG331" s="4" t="s">
        <v>206</v>
      </c>
      <c r="AH331" s="4"/>
      <c r="AI331" s="1399"/>
      <c r="AJ331" s="1399"/>
      <c r="AK331" s="1399"/>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34"/>
      <c r="I333" s="1434"/>
      <c r="J333" s="1434"/>
      <c r="K333" s="1434"/>
      <c r="L333" s="1434"/>
      <c r="M333" s="1434"/>
      <c r="N333" s="1380"/>
      <c r="O333" s="1380"/>
      <c r="P333" s="1380"/>
      <c r="Q333" s="1380"/>
      <c r="R333" s="1380"/>
      <c r="S333" s="3"/>
      <c r="T333" s="3" t="s">
        <v>76</v>
      </c>
      <c r="V333" s="3"/>
      <c r="W333" s="3"/>
      <c r="X333" s="3"/>
      <c r="Y333" s="3"/>
      <c r="AA333" s="1434"/>
      <c r="AB333" s="1434"/>
      <c r="AC333" s="1434"/>
      <c r="AD333" s="1434"/>
      <c r="AE333" s="1434"/>
      <c r="AF333" s="1434"/>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2700</v>
      </c>
      <c r="I335" s="1380"/>
      <c r="J335" s="1380"/>
      <c r="K335" s="1380"/>
      <c r="L335" s="1380"/>
      <c r="M335" s="1380"/>
      <c r="N335" s="1380"/>
      <c r="O335" s="1380"/>
      <c r="P335" s="1380"/>
      <c r="Q335" s="1380"/>
      <c r="R335" s="1380"/>
      <c r="T335" s="218" t="s">
        <v>897</v>
      </c>
      <c r="V335" s="3"/>
      <c r="W335" s="3"/>
      <c r="X335" s="3"/>
      <c r="Y335" s="3"/>
      <c r="AA335" s="1380" t="s">
        <v>2701</v>
      </c>
      <c r="AB335" s="1380"/>
      <c r="AC335" s="1380"/>
      <c r="AD335" s="1380"/>
      <c r="AE335" s="1380"/>
      <c r="AF335" s="1380"/>
      <c r="AG335" s="1380"/>
      <c r="AH335" s="1380"/>
      <c r="AI335" s="1380"/>
      <c r="AJ335" s="1380"/>
      <c r="AK335" s="1380"/>
    </row>
    <row r="336" spans="2:66" ht="12.95" customHeight="1">
      <c r="B336" s="3" t="s">
        <v>478</v>
      </c>
      <c r="C336" s="3"/>
      <c r="D336" s="3"/>
      <c r="E336" s="3"/>
      <c r="F336" s="3"/>
      <c r="H336" s="1434" t="s">
        <v>2702</v>
      </c>
      <c r="I336" s="1434"/>
      <c r="J336" s="1434"/>
      <c r="K336" s="1434"/>
      <c r="L336" s="1434"/>
      <c r="M336" s="1434"/>
      <c r="N336" s="1434"/>
      <c r="O336" s="1434"/>
      <c r="P336" s="1434"/>
      <c r="Q336" s="1434"/>
      <c r="R336" s="1434"/>
      <c r="T336" s="3" t="s">
        <v>478</v>
      </c>
      <c r="V336" s="3"/>
      <c r="W336" s="3"/>
      <c r="X336" s="3"/>
      <c r="Y336" s="3"/>
      <c r="AA336" s="1434" t="s">
        <v>2703</v>
      </c>
      <c r="AB336" s="1434"/>
      <c r="AC336" s="1434"/>
      <c r="AD336" s="1434"/>
      <c r="AE336" s="1434"/>
      <c r="AF336" s="1434"/>
      <c r="AG336" s="1434"/>
      <c r="AH336" s="1434"/>
      <c r="AI336" s="1434"/>
      <c r="AJ336" s="1434"/>
      <c r="AK336" s="1434"/>
    </row>
    <row r="337" spans="1:66" ht="12.95" customHeight="1">
      <c r="B337" s="3" t="s">
        <v>75</v>
      </c>
      <c r="C337" s="3"/>
      <c r="D337" s="3"/>
      <c r="E337" s="3"/>
      <c r="F337" s="3"/>
      <c r="H337" s="1434" t="s">
        <v>2704</v>
      </c>
      <c r="I337" s="1434"/>
      <c r="J337" s="1434"/>
      <c r="K337" s="1434"/>
      <c r="L337" s="1434"/>
      <c r="M337" s="1434"/>
      <c r="N337" s="1434"/>
      <c r="O337" s="1434"/>
      <c r="P337" s="1434"/>
      <c r="Q337" s="1434"/>
      <c r="R337" s="1434"/>
      <c r="T337" s="3" t="s">
        <v>75</v>
      </c>
      <c r="V337" s="3"/>
      <c r="W337" s="3"/>
      <c r="X337" s="3"/>
      <c r="Y337" s="3"/>
      <c r="AA337" s="1434" t="s">
        <v>2705</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34" t="s">
        <v>2706</v>
      </c>
      <c r="I338" s="1434"/>
      <c r="J338" s="1434"/>
      <c r="K338" s="1434"/>
      <c r="L338" s="1434"/>
      <c r="M338" s="1434"/>
      <c r="N338" s="1434"/>
      <c r="O338" s="1434"/>
      <c r="P338" s="1434"/>
      <c r="Q338" s="1434"/>
      <c r="R338" s="1434"/>
      <c r="T338" s="3" t="s">
        <v>87</v>
      </c>
      <c r="V338" s="3"/>
      <c r="W338" s="3"/>
      <c r="X338" s="3"/>
      <c r="Y338" s="3"/>
      <c r="AA338" s="1434" t="s">
        <v>2707</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441" t="s">
        <v>2708</v>
      </c>
      <c r="I339" s="1442"/>
      <c r="J339" s="1442"/>
      <c r="K339" s="1442"/>
      <c r="L339" s="1442"/>
      <c r="M339" s="1442"/>
      <c r="N339" s="4" t="s">
        <v>206</v>
      </c>
      <c r="O339" s="4"/>
      <c r="P339" s="1399"/>
      <c r="Q339" s="1399"/>
      <c r="R339" s="1399"/>
      <c r="S339" s="3"/>
      <c r="T339" s="3" t="s">
        <v>88</v>
      </c>
      <c r="V339" s="3"/>
      <c r="W339" s="3"/>
      <c r="X339" s="3"/>
      <c r="Y339" s="3"/>
      <c r="AA339" s="1441" t="s">
        <v>2709</v>
      </c>
      <c r="AB339" s="1442"/>
      <c r="AC339" s="1442"/>
      <c r="AD339" s="1442"/>
      <c r="AE339" s="1442"/>
      <c r="AF339" s="1442"/>
      <c r="AG339" s="4" t="s">
        <v>206</v>
      </c>
      <c r="AH339" s="4"/>
      <c r="AI339" s="1399"/>
      <c r="AJ339" s="1399"/>
      <c r="AK339" s="1399"/>
    </row>
    <row r="340" spans="1:66" ht="12.95" customHeight="1">
      <c r="B340" s="3" t="s">
        <v>89</v>
      </c>
      <c r="C340" s="3"/>
      <c r="D340" s="3"/>
      <c r="E340" s="3"/>
      <c r="F340" s="3"/>
      <c r="G340" s="3"/>
      <c r="H340" s="1390" t="s">
        <v>2710</v>
      </c>
      <c r="I340" s="1391"/>
      <c r="J340" s="1391"/>
      <c r="K340" s="1391"/>
      <c r="L340" s="1391"/>
      <c r="M340" s="1391"/>
      <c r="N340" s="4"/>
      <c r="O340" s="4"/>
      <c r="P340" s="35"/>
      <c r="Q340" s="35"/>
      <c r="R340" s="35"/>
      <c r="S340" s="3"/>
      <c r="T340" s="3" t="s">
        <v>89</v>
      </c>
      <c r="V340" s="3"/>
      <c r="W340" s="3"/>
      <c r="X340" s="3"/>
      <c r="Y340" s="3"/>
      <c r="AA340" s="1390" t="s">
        <v>2711</v>
      </c>
      <c r="AB340" s="1391"/>
      <c r="AC340" s="1391"/>
      <c r="AD340" s="1391"/>
      <c r="AE340" s="1391"/>
      <c r="AF340" s="1391"/>
      <c r="AG340" s="4"/>
      <c r="AH340" s="4"/>
      <c r="AI340" s="35"/>
      <c r="AJ340" s="35"/>
      <c r="AK340" s="35"/>
    </row>
    <row r="341" spans="1:66" ht="12.95" customHeight="1">
      <c r="B341" s="3" t="s">
        <v>76</v>
      </c>
      <c r="C341" s="3"/>
      <c r="D341" s="3"/>
      <c r="E341" s="3"/>
      <c r="F341" s="3"/>
      <c r="G341" s="3"/>
      <c r="H341" s="1434" t="s">
        <v>2712</v>
      </c>
      <c r="I341" s="1434"/>
      <c r="J341" s="1434"/>
      <c r="K341" s="1434"/>
      <c r="L341" s="1434"/>
      <c r="M341" s="1434"/>
      <c r="N341" s="1380"/>
      <c r="O341" s="1380"/>
      <c r="P341" s="1380"/>
      <c r="Q341" s="1380"/>
      <c r="R341" s="1380"/>
      <c r="S341" s="3"/>
      <c r="T341" s="3" t="s">
        <v>76</v>
      </c>
      <c r="V341" s="3"/>
      <c r="W341" s="3"/>
      <c r="X341" s="3"/>
      <c r="Y341" s="3"/>
      <c r="AA341" s="1434" t="s">
        <v>2713</v>
      </c>
      <c r="AB341" s="1434"/>
      <c r="AC341" s="1434"/>
      <c r="AD341" s="1434"/>
      <c r="AE341" s="1434"/>
      <c r="AF341" s="1434"/>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380" t="s">
        <v>2639</v>
      </c>
      <c r="Q343" s="1380"/>
      <c r="R343" s="1380"/>
      <c r="S343" s="1380"/>
      <c r="T343" s="1380"/>
      <c r="U343" s="1380"/>
      <c r="V343" s="1380"/>
      <c r="W343" s="1380"/>
      <c r="X343" s="1380"/>
      <c r="Y343" s="1380"/>
      <c r="Z343" s="1380"/>
      <c r="AA343" s="1380"/>
      <c r="AB343" s="1380"/>
      <c r="AC343" s="1380"/>
      <c r="AD343" s="1380"/>
      <c r="AE343" s="1380"/>
      <c r="BN343" t="s">
        <v>675</v>
      </c>
    </row>
    <row r="344" spans="1:66" ht="12.95" customHeight="1">
      <c r="B344" s="4"/>
      <c r="C344" s="4"/>
      <c r="D344" s="4"/>
      <c r="E344" s="4"/>
      <c r="F344" s="4"/>
      <c r="I344" s="4" t="s">
        <v>478</v>
      </c>
      <c r="P344" s="1434"/>
      <c r="Q344" s="1434"/>
      <c r="R344" s="1434"/>
      <c r="S344" s="1434"/>
      <c r="T344" s="1434"/>
      <c r="U344" s="1434"/>
      <c r="V344" s="1434"/>
      <c r="W344" s="1434"/>
      <c r="X344" s="1434"/>
      <c r="Y344" s="1434"/>
      <c r="Z344" s="1434"/>
      <c r="AA344" s="1434"/>
      <c r="AB344" s="1434"/>
      <c r="AC344" s="1434"/>
      <c r="AD344" s="1434"/>
      <c r="AE344" s="1434"/>
      <c r="BN344" t="s">
        <v>552</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206</v>
      </c>
      <c r="AB347" s="4"/>
      <c r="AC347" s="1465"/>
      <c r="AD347" s="1465"/>
      <c r="AE347" s="1465"/>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40" t="s">
        <v>549</v>
      </c>
      <c r="B351" s="1440"/>
      <c r="C351" s="1440"/>
      <c r="D351" s="1440"/>
      <c r="E351" s="1440"/>
      <c r="F351" s="1440"/>
      <c r="G351" s="1440"/>
      <c r="H351" s="1440"/>
      <c r="I351" s="1440"/>
      <c r="J351" s="1440"/>
      <c r="K351" s="1440"/>
      <c r="L351" s="1440"/>
      <c r="M351" s="1440"/>
      <c r="N351" s="1440"/>
      <c r="O351" s="1440"/>
      <c r="P351" s="1440"/>
      <c r="Q351" s="1440"/>
      <c r="R351" s="1440"/>
      <c r="S351" s="1440"/>
      <c r="T351" s="1440"/>
      <c r="U351" s="1440"/>
      <c r="V351" s="1440"/>
      <c r="W351" s="1440"/>
      <c r="X351" s="1440"/>
      <c r="Y351" s="1440"/>
      <c r="Z351" s="1440"/>
      <c r="AA351" s="1440"/>
      <c r="AB351" s="1440"/>
      <c r="AC351" s="1440"/>
      <c r="AD351" s="1440"/>
      <c r="AE351" s="1440"/>
      <c r="AF351" s="1440"/>
      <c r="AG351" s="1440"/>
      <c r="AH351" s="1440"/>
      <c r="AI351" s="1440"/>
      <c r="AJ351" s="1440"/>
      <c r="AK351" s="1440"/>
      <c r="AL351" s="1440"/>
      <c r="AM351" s="1440"/>
      <c r="AN351" s="1440"/>
      <c r="AO351" s="1440"/>
      <c r="AP351" s="1440"/>
      <c r="AQ351" s="1440"/>
      <c r="AR351" s="1440"/>
      <c r="AS351" s="1440"/>
      <c r="AT351" s="1440"/>
      <c r="AU351" s="95"/>
      <c r="AV351" s="95"/>
      <c r="AW351" s="95"/>
      <c r="AX351" s="95"/>
      <c r="AY351" s="95"/>
    </row>
    <row r="352" spans="1:66" ht="12.95" customHeight="1">
      <c r="A352" s="1440"/>
      <c r="B352" s="1440"/>
      <c r="C352" s="1440"/>
      <c r="D352" s="1440"/>
      <c r="E352" s="1440"/>
      <c r="F352" s="1440"/>
      <c r="G352" s="1440"/>
      <c r="H352" s="1440"/>
      <c r="I352" s="1440"/>
      <c r="J352" s="1440"/>
      <c r="K352" s="1440"/>
      <c r="L352" s="1440"/>
      <c r="M352" s="1440"/>
      <c r="N352" s="1440"/>
      <c r="O352" s="1440"/>
      <c r="P352" s="1440"/>
      <c r="Q352" s="1440"/>
      <c r="R352" s="1440"/>
      <c r="S352" s="1440"/>
      <c r="T352" s="1440"/>
      <c r="U352" s="1440"/>
      <c r="V352" s="1440"/>
      <c r="W352" s="1440"/>
      <c r="X352" s="1440"/>
      <c r="Y352" s="1440"/>
      <c r="Z352" s="1440"/>
      <c r="AA352" s="1440"/>
      <c r="AB352" s="1440"/>
      <c r="AC352" s="1440"/>
      <c r="AD352" s="1440"/>
      <c r="AE352" s="1440"/>
      <c r="AF352" s="1440"/>
      <c r="AG352" s="1440"/>
      <c r="AH352" s="1440"/>
      <c r="AI352" s="1440"/>
      <c r="AJ352" s="1440"/>
      <c r="AK352" s="1440"/>
      <c r="AL352" s="1440"/>
      <c r="AM352" s="1440"/>
      <c r="AN352" s="1440"/>
      <c r="AO352" s="1440"/>
      <c r="AP352" s="1440"/>
      <c r="AQ352" s="1440"/>
      <c r="AR352" s="1440"/>
      <c r="AS352" s="1440"/>
      <c r="AT352" s="14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379" t="s">
        <v>552</v>
      </c>
      <c r="N355" s="1379"/>
      <c r="P355" t="s">
        <v>1758</v>
      </c>
      <c r="AJ355" s="1379" t="s">
        <v>675</v>
      </c>
      <c r="AK355" s="1379"/>
    </row>
    <row r="356" spans="1:46" ht="12.95" customHeight="1">
      <c r="D356" s="3" t="s">
        <v>1747</v>
      </c>
      <c r="M356" s="1379" t="s">
        <v>598</v>
      </c>
      <c r="N356" s="1379"/>
      <c r="P356" s="3" t="s">
        <v>1904</v>
      </c>
      <c r="AJ356" s="1436"/>
      <c r="AK356" s="1436"/>
    </row>
    <row r="357" spans="1:46" ht="12.95" customHeight="1">
      <c r="D357" s="3" t="s">
        <v>711</v>
      </c>
      <c r="M357" s="1379" t="s">
        <v>598</v>
      </c>
      <c r="N357" s="1379"/>
      <c r="P357" t="s">
        <v>1757</v>
      </c>
      <c r="AJ357" s="1379" t="s">
        <v>598</v>
      </c>
      <c r="AK357" s="1379"/>
    </row>
    <row r="358" spans="1:46" ht="12.95" customHeight="1">
      <c r="D358" s="3" t="s">
        <v>712</v>
      </c>
      <c r="M358" s="1379" t="s">
        <v>598</v>
      </c>
      <c r="N358" s="137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598</v>
      </c>
      <c r="O363" s="1379"/>
      <c r="P363" s="40"/>
      <c r="Q363" s="40"/>
      <c r="R363" s="40"/>
      <c r="S363" s="40"/>
      <c r="T363" s="40"/>
      <c r="U363" s="40"/>
      <c r="V363" s="40"/>
      <c r="W363" s="40"/>
      <c r="X363" s="40"/>
      <c r="Y363" s="40"/>
      <c r="Z363" s="40"/>
      <c r="AC363" s="40"/>
      <c r="AD363" s="40"/>
      <c r="AE363" s="40"/>
    </row>
    <row r="364" spans="1:46" ht="12.95" customHeight="1">
      <c r="E364" t="s">
        <v>370</v>
      </c>
      <c r="Y364" s="1379" t="s">
        <v>598</v>
      </c>
      <c r="Z364" s="1379"/>
    </row>
    <row r="365" spans="1:46" ht="12.95" customHeight="1">
      <c r="D365" s="4" t="s">
        <v>994</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598</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713</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455</v>
      </c>
      <c r="F370" s="4"/>
      <c r="G370" s="4"/>
      <c r="H370" s="4"/>
      <c r="I370" s="4"/>
      <c r="J370" s="4"/>
      <c r="K370" s="4"/>
      <c r="L370" s="4"/>
      <c r="N370" s="1608"/>
      <c r="O370" s="1608"/>
      <c r="P370" s="1608"/>
      <c r="Q370" s="1608"/>
      <c r="R370" s="4"/>
      <c r="U370" s="4" t="s">
        <v>456</v>
      </c>
      <c r="V370" s="4"/>
      <c r="W370" s="4"/>
      <c r="X370" s="4"/>
      <c r="Y370" s="4"/>
      <c r="Z370" s="4"/>
      <c r="AA370" s="4"/>
      <c r="AB370" s="4"/>
      <c r="AC370" s="1608"/>
      <c r="AD370" s="1608"/>
      <c r="AE370" s="1608"/>
      <c r="AF370" s="1608"/>
    </row>
    <row r="371" spans="1:34" ht="12.95" customHeight="1">
      <c r="E371" s="4" t="s">
        <v>457</v>
      </c>
      <c r="F371" s="4"/>
      <c r="G371" s="4"/>
      <c r="H371" s="4"/>
      <c r="I371" s="4"/>
      <c r="J371" s="4"/>
      <c r="K371" s="4"/>
      <c r="L371" s="4"/>
      <c r="N371" s="1608"/>
      <c r="O371" s="1608"/>
      <c r="P371" s="1608"/>
      <c r="Q371" s="1608"/>
      <c r="R371" s="4"/>
      <c r="U371" s="4" t="s">
        <v>0</v>
      </c>
      <c r="V371" s="4"/>
      <c r="W371" s="4"/>
      <c r="X371" s="4"/>
      <c r="Y371" s="4"/>
      <c r="Z371" s="4"/>
      <c r="AA371" s="4"/>
      <c r="AB371" s="4"/>
      <c r="AC371" s="1608"/>
      <c r="AD371" s="1608"/>
      <c r="AE371" s="1608"/>
      <c r="AF371" s="1608"/>
    </row>
    <row r="372" spans="1:34" ht="12.95" customHeight="1">
      <c r="E372" s="4" t="s">
        <v>1</v>
      </c>
      <c r="F372" s="4"/>
      <c r="G372" s="4"/>
      <c r="H372" s="4"/>
      <c r="I372" s="4"/>
      <c r="J372" s="4"/>
      <c r="K372" s="4"/>
      <c r="L372" s="4"/>
      <c r="N372" s="1608"/>
      <c r="O372" s="1608"/>
      <c r="P372" s="1608"/>
      <c r="Q372" s="1608"/>
      <c r="R372" s="4"/>
      <c r="V372" s="4"/>
      <c r="W372" s="4"/>
      <c r="X372" s="4"/>
      <c r="Y372" s="4"/>
      <c r="Z372" s="4"/>
      <c r="AA372" s="4"/>
      <c r="AB372" s="4"/>
    </row>
    <row r="373" spans="1:34" ht="12.95" customHeight="1">
      <c r="E373" s="4" t="s">
        <v>2</v>
      </c>
      <c r="F373" s="4"/>
      <c r="G373" s="4"/>
      <c r="H373" s="4"/>
      <c r="I373" s="4"/>
      <c r="J373" s="4"/>
      <c r="K373" s="4"/>
      <c r="L373" s="4"/>
      <c r="N373" s="1859"/>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2.95"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678"/>
      <c r="T377" s="1678"/>
      <c r="U377" s="1" t="s">
        <v>306</v>
      </c>
      <c r="V377" s="1678"/>
      <c r="W377" s="1678"/>
      <c r="Y377" t="s">
        <v>2391</v>
      </c>
      <c r="AC377" s="27" t="s">
        <v>305</v>
      </c>
      <c r="AD377" s="1678"/>
      <c r="AE377" s="1678"/>
      <c r="AF377" s="1" t="s">
        <v>306</v>
      </c>
      <c r="AG377" s="1678"/>
      <c r="AH377" s="1678"/>
    </row>
    <row r="378" spans="1:34" ht="12.95" customHeight="1">
      <c r="E378" s="4" t="s">
        <v>1008</v>
      </c>
      <c r="F378" s="4"/>
      <c r="G378" s="4"/>
      <c r="H378" s="4"/>
      <c r="I378" s="4"/>
      <c r="J378" s="4"/>
      <c r="K378" s="4"/>
      <c r="L378" s="4"/>
      <c r="N378" s="1678"/>
      <c r="O378" s="1678"/>
      <c r="P378" s="1678"/>
    </row>
    <row r="379" spans="1:34" ht="12.95" customHeight="1">
      <c r="E379" s="218" t="s">
        <v>2397</v>
      </c>
      <c r="F379" s="4"/>
      <c r="G379" s="4"/>
      <c r="H379" s="4"/>
      <c r="I379" s="4"/>
      <c r="J379" s="4"/>
      <c r="K379" s="4"/>
      <c r="L379" s="4"/>
      <c r="AG379" s="1669" t="s">
        <v>598</v>
      </c>
      <c r="AH379" s="1669"/>
    </row>
    <row r="380" spans="1:34" ht="12.95" customHeight="1">
      <c r="E380" s="4"/>
      <c r="F380" s="4"/>
      <c r="G380" s="4" t="s">
        <v>2398</v>
      </c>
      <c r="H380" s="4"/>
      <c r="I380" s="4"/>
      <c r="J380" s="4"/>
      <c r="K380" s="4"/>
      <c r="L380" s="4"/>
      <c r="AG380" s="1669" t="s">
        <v>598</v>
      </c>
      <c r="AH380" s="1669"/>
    </row>
    <row r="381" spans="1:34" ht="12.95" customHeight="1">
      <c r="E381" s="4"/>
      <c r="F381" s="4"/>
      <c r="G381" s="348" t="s">
        <v>1009</v>
      </c>
      <c r="H381" s="4"/>
      <c r="I381" s="4"/>
      <c r="J381" s="4"/>
      <c r="K381" s="4"/>
      <c r="L381" s="4"/>
      <c r="V381" s="1379" t="s">
        <v>598</v>
      </c>
      <c r="W381" s="1379"/>
      <c r="Y381" s="22" t="s">
        <v>996</v>
      </c>
    </row>
    <row r="382" spans="1:34" ht="12.95" customHeight="1">
      <c r="E382" s="4" t="s">
        <v>997</v>
      </c>
      <c r="F382" s="4"/>
      <c r="G382" s="4"/>
      <c r="H382" s="4"/>
      <c r="I382" s="4"/>
      <c r="J382" s="4"/>
      <c r="K382" s="4"/>
      <c r="L382" s="4"/>
      <c r="V382" s="1379" t="s">
        <v>598</v>
      </c>
      <c r="W382" s="1379"/>
      <c r="Y382" s="4" t="s">
        <v>998</v>
      </c>
    </row>
    <row r="383" spans="1:34" ht="12.95" customHeight="1"/>
    <row r="384" spans="1:34" ht="12.95" customHeight="1">
      <c r="A384" s="2" t="s">
        <v>78</v>
      </c>
      <c r="B384" s="2"/>
    </row>
    <row r="385" spans="4:36" ht="12.95" customHeight="1">
      <c r="D385" t="s">
        <v>428</v>
      </c>
      <c r="J385" s="1380" t="s">
        <v>2767</v>
      </c>
      <c r="K385" s="1380"/>
      <c r="L385" s="1380"/>
      <c r="M385" s="1380"/>
      <c r="N385" s="1380"/>
      <c r="O385" s="1380"/>
      <c r="P385" s="1380"/>
      <c r="Q385" s="1380"/>
      <c r="R385" s="1380"/>
      <c r="S385" s="1380"/>
      <c r="T385" s="1380"/>
      <c r="U385" s="1380"/>
      <c r="V385" s="8" t="s">
        <v>83</v>
      </c>
      <c r="W385" s="8"/>
      <c r="X385" s="8"/>
      <c r="Y385" s="8"/>
      <c r="Z385" s="8"/>
      <c r="AA385" s="8"/>
      <c r="AB385" s="8"/>
      <c r="AC385" s="1380" t="s">
        <v>2642</v>
      </c>
      <c r="AD385" s="1380"/>
      <c r="AE385" s="1380"/>
      <c r="AF385" s="1380"/>
      <c r="AG385" s="1380"/>
      <c r="AH385" s="1380"/>
      <c r="AI385" s="1380"/>
      <c r="AJ385" s="1380"/>
    </row>
    <row r="386" spans="4:36" ht="12.95" customHeight="1">
      <c r="D386" s="3" t="s">
        <v>1285</v>
      </c>
      <c r="J386" s="1434" t="s">
        <v>2642</v>
      </c>
      <c r="K386" s="1434"/>
      <c r="L386" s="1434"/>
      <c r="M386" s="1434"/>
      <c r="N386" s="1434"/>
      <c r="O386" s="1434"/>
      <c r="P386" s="1434"/>
      <c r="Q386" s="1434"/>
      <c r="R386" s="1434"/>
      <c r="S386" s="1434"/>
      <c r="T386" s="1434"/>
      <c r="U386" s="1434"/>
      <c r="V386" s="3" t="s">
        <v>1285</v>
      </c>
      <c r="W386" s="8"/>
      <c r="X386" s="8"/>
      <c r="Y386" s="8"/>
      <c r="Z386" s="8"/>
      <c r="AA386" s="8"/>
      <c r="AB386" s="8"/>
      <c r="AC386" s="1380"/>
      <c r="AD386" s="1380"/>
      <c r="AE386" s="1380"/>
      <c r="AF386" s="1380"/>
      <c r="AG386" s="1380"/>
      <c r="AH386" s="1380"/>
      <c r="AI386" s="1380"/>
      <c r="AJ386" s="1380"/>
    </row>
    <row r="387" spans="4:36" ht="12.95" customHeight="1">
      <c r="D387" s="3" t="s">
        <v>442</v>
      </c>
      <c r="J387" s="1434" t="s">
        <v>2776</v>
      </c>
      <c r="K387" s="1434"/>
      <c r="L387" s="1434"/>
      <c r="M387" s="1434"/>
      <c r="N387" s="1434"/>
      <c r="O387" s="1434"/>
      <c r="P387" s="1434"/>
      <c r="Q387" s="1434"/>
      <c r="R387" s="1434"/>
      <c r="S387" s="1434"/>
      <c r="T387" s="1434"/>
      <c r="U387" s="1434"/>
      <c r="V387" s="3" t="s">
        <v>442</v>
      </c>
      <c r="W387" s="8"/>
      <c r="X387" s="8"/>
      <c r="Y387" s="8"/>
      <c r="Z387" s="8"/>
      <c r="AA387" s="8"/>
      <c r="AB387" s="8"/>
      <c r="AC387" s="1380"/>
      <c r="AD387" s="1380"/>
      <c r="AE387" s="1380"/>
      <c r="AF387" s="1380"/>
      <c r="AG387" s="1380"/>
      <c r="AH387" s="1380"/>
      <c r="AI387" s="1380"/>
      <c r="AJ387" s="1380"/>
    </row>
    <row r="388" spans="4:36" ht="12.95" customHeight="1">
      <c r="D388" t="s">
        <v>1281</v>
      </c>
      <c r="J388" s="1640" t="s">
        <v>2644</v>
      </c>
      <c r="K388" s="1640"/>
      <c r="L388" s="1640"/>
      <c r="M388" s="1640"/>
      <c r="N388" s="1640"/>
      <c r="O388" s="1640"/>
      <c r="P388" s="1640"/>
      <c r="Q388" s="1640"/>
      <c r="R388" s="1640"/>
      <c r="S388" s="1640"/>
      <c r="T388" s="1640"/>
      <c r="U388" s="1640"/>
      <c r="V388" s="1380" t="s">
        <v>2667</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83">
        <v>45474</v>
      </c>
      <c r="R389" s="1683"/>
      <c r="S389" s="1683"/>
      <c r="T389" s="1683"/>
      <c r="U389" s="1683"/>
      <c r="V389" t="s">
        <v>309</v>
      </c>
      <c r="AI389" s="1379" t="s">
        <v>552</v>
      </c>
      <c r="AJ389" s="1379"/>
    </row>
    <row r="390" spans="4:36" ht="12.95" customHeight="1">
      <c r="D390" t="s">
        <v>5</v>
      </c>
      <c r="Q390" s="1679">
        <v>46022</v>
      </c>
      <c r="R390" s="1680"/>
      <c r="S390" s="1680"/>
      <c r="T390" s="1680"/>
      <c r="U390" s="1680"/>
      <c r="W390" s="21" t="s">
        <v>74</v>
      </c>
      <c r="AG390" s="1676">
        <v>1.0000000000000001E-5</v>
      </c>
      <c r="AH390" s="1676"/>
      <c r="AI390" s="1676"/>
      <c r="AJ390" s="1676"/>
    </row>
    <row r="391" spans="4:36" ht="12.95" customHeight="1">
      <c r="D391" t="s">
        <v>427</v>
      </c>
      <c r="Q391" s="1677">
        <v>4378535</v>
      </c>
      <c r="R391" s="1677"/>
      <c r="S391" s="1677"/>
      <c r="T391" s="1677"/>
      <c r="U391" s="1677"/>
      <c r="V391" s="3" t="s">
        <v>1284</v>
      </c>
      <c r="AG391" s="1812">
        <v>45812</v>
      </c>
      <c r="AH391" s="1812"/>
      <c r="AI391" s="1812"/>
      <c r="AJ391" s="1812"/>
    </row>
    <row r="392" spans="4:36" ht="12.95" customHeight="1">
      <c r="D392" t="s">
        <v>88</v>
      </c>
      <c r="I392" s="1441" t="s">
        <v>2646</v>
      </c>
      <c r="J392" s="1442"/>
      <c r="K392" s="1442"/>
      <c r="L392" s="1442"/>
      <c r="M392" s="1442"/>
      <c r="N392" s="1442"/>
      <c r="Q392" s="4" t="s">
        <v>206</v>
      </c>
      <c r="S392" s="1682">
        <v>3015</v>
      </c>
      <c r="T392" s="1682"/>
      <c r="U392" s="1682"/>
      <c r="V392" t="s">
        <v>73</v>
      </c>
      <c r="AI392" s="1379" t="s">
        <v>675</v>
      </c>
      <c r="AJ392" s="1379"/>
    </row>
    <row r="393" spans="4:36" ht="12.95" customHeight="1">
      <c r="D393" t="s">
        <v>310</v>
      </c>
      <c r="Q393" s="1557">
        <v>1.0000000000000001E-5</v>
      </c>
      <c r="R393" s="1557"/>
      <c r="S393" s="1557"/>
      <c r="T393" s="1557"/>
      <c r="U393" s="1557"/>
      <c r="V393" t="s">
        <v>311</v>
      </c>
      <c r="AG393" s="1676">
        <v>1.0000000000000001E-5</v>
      </c>
      <c r="AH393" s="1676"/>
      <c r="AI393" s="1676"/>
      <c r="AJ393" s="1676"/>
    </row>
    <row r="394" spans="4:36" ht="12.95" customHeight="1">
      <c r="D394" t="s">
        <v>312</v>
      </c>
      <c r="Q394" s="1767">
        <v>1E-8</v>
      </c>
      <c r="R394" s="1767"/>
      <c r="S394" s="1767"/>
      <c r="T394" s="1767"/>
      <c r="U394" s="1767"/>
      <c r="V394" t="s">
        <v>1265</v>
      </c>
      <c r="AG394" s="1676"/>
      <c r="AH394" s="1676"/>
      <c r="AI394" s="1676"/>
      <c r="AJ394" s="1676"/>
    </row>
    <row r="395" spans="4:36" ht="12.95" customHeight="1">
      <c r="D395" t="s">
        <v>1264</v>
      </c>
      <c r="AG395" s="1676"/>
      <c r="AH395" s="1676"/>
      <c r="AI395" s="1676"/>
      <c r="AJ395" s="1676"/>
    </row>
    <row r="396" spans="4:36" ht="12.95" customHeight="1">
      <c r="AG396" s="490"/>
      <c r="AH396" s="490"/>
      <c r="AI396" s="490"/>
      <c r="AJ396" s="490"/>
    </row>
    <row r="397" spans="4:36" ht="12.95" customHeight="1">
      <c r="D397" s="3" t="s">
        <v>2497</v>
      </c>
      <c r="AG397" s="490"/>
      <c r="AH397" s="490"/>
      <c r="AI397" s="1379" t="s">
        <v>675</v>
      </c>
      <c r="AJ397" s="1379"/>
    </row>
    <row r="398" spans="4:36" ht="12.95" customHeight="1">
      <c r="D398" s="3" t="s">
        <v>1776</v>
      </c>
      <c r="T398" s="1806" t="s">
        <v>598</v>
      </c>
      <c r="U398" s="1806"/>
      <c r="V398" s="1806"/>
      <c r="W398" s="1806"/>
      <c r="X398" s="1806"/>
      <c r="Y398" s="1806"/>
      <c r="Z398" s="1806"/>
      <c r="AA398" s="1806"/>
      <c r="AB398" s="1806"/>
      <c r="AC398" s="1806"/>
      <c r="AD398" s="1806"/>
      <c r="AE398" s="1806"/>
      <c r="AF398" s="1806"/>
      <c r="AG398" s="1806"/>
      <c r="AH398" s="1806"/>
      <c r="AI398" s="1806"/>
      <c r="AJ398" s="1806"/>
    </row>
    <row r="399" spans="4:36" ht="12.95" customHeight="1">
      <c r="D399" s="3" t="s">
        <v>1775</v>
      </c>
      <c r="T399" s="1806" t="s">
        <v>598</v>
      </c>
      <c r="U399" s="1806"/>
      <c r="V399" s="1806"/>
      <c r="W399" s="1806"/>
      <c r="X399" s="1806"/>
      <c r="Y399" s="1806"/>
      <c r="Z399" s="1806"/>
      <c r="AA399" s="1806"/>
      <c r="AB399" s="1806"/>
      <c r="AC399" s="1806"/>
      <c r="AD399" s="1806"/>
      <c r="AE399" s="1806"/>
      <c r="AF399" s="1806"/>
      <c r="AG399" s="1806"/>
      <c r="AH399" s="1806"/>
      <c r="AI399" s="1806"/>
      <c r="AJ399" s="1806"/>
    </row>
    <row r="400" spans="4:36" ht="12.95" customHeight="1">
      <c r="AG400" s="490"/>
      <c r="AH400" s="490"/>
      <c r="AI400" s="490"/>
      <c r="AJ400" s="490"/>
    </row>
    <row r="401" spans="1:36" ht="12.95" customHeight="1">
      <c r="D401" s="3" t="s">
        <v>1769</v>
      </c>
      <c r="S401" s="1806" t="s">
        <v>675</v>
      </c>
      <c r="T401" s="1806"/>
      <c r="U401" s="1806"/>
      <c r="V401" t="s">
        <v>1770</v>
      </c>
      <c r="AG401" s="1861"/>
      <c r="AH401" s="1861"/>
      <c r="AI401" s="1861"/>
      <c r="AJ401" s="1861"/>
    </row>
    <row r="402" spans="1:36" ht="12.95" customHeight="1">
      <c r="D402" s="3" t="s">
        <v>1767</v>
      </c>
      <c r="S402" s="1806" t="s">
        <v>598</v>
      </c>
      <c r="T402" s="1806"/>
      <c r="U402" s="1806"/>
      <c r="V402" t="s">
        <v>1772</v>
      </c>
      <c r="AE402" s="1864"/>
      <c r="AF402" s="1864"/>
      <c r="AG402" s="1864"/>
      <c r="AH402" s="1864"/>
      <c r="AI402" s="1864"/>
      <c r="AJ402" s="1864"/>
    </row>
    <row r="403" spans="1:36" ht="12.95" customHeight="1">
      <c r="D403" s="3" t="s">
        <v>1768</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2.95" customHeight="1">
      <c r="D404" s="3" t="s">
        <v>1771</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2.95" customHeight="1">
      <c r="D405" s="3" t="s">
        <v>1774</v>
      </c>
      <c r="E405" s="511"/>
      <c r="F405" s="511"/>
      <c r="G405" s="511"/>
      <c r="H405" s="511"/>
      <c r="I405" s="511"/>
      <c r="J405" s="511"/>
      <c r="K405" s="511"/>
      <c r="L405" s="511"/>
      <c r="M405" s="511"/>
      <c r="N405" s="511"/>
      <c r="O405" s="511"/>
      <c r="P405" s="511"/>
      <c r="Q405" s="511"/>
      <c r="R405" s="511"/>
      <c r="S405" s="1816" t="s">
        <v>1287</v>
      </c>
      <c r="T405" s="1816"/>
      <c r="U405" s="1816"/>
      <c r="V405" s="1816"/>
      <c r="W405" s="1816"/>
      <c r="X405" s="1816"/>
      <c r="Y405" s="1816"/>
      <c r="Z405" s="1816"/>
      <c r="AA405" s="1816"/>
      <c r="AB405" s="1816"/>
      <c r="AC405" s="1816"/>
      <c r="AD405" s="1816"/>
      <c r="AE405" s="1816"/>
      <c r="AF405" s="1816"/>
      <c r="AG405" s="1816"/>
      <c r="AH405" s="1816"/>
      <c r="AI405" s="1816"/>
      <c r="AJ405" s="1816"/>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398" t="s">
        <v>2746</v>
      </c>
      <c r="J410" s="1398"/>
      <c r="K410" s="1398"/>
      <c r="L410" s="1398"/>
      <c r="M410" s="1398"/>
      <c r="N410" s="1398"/>
      <c r="O410" s="1398"/>
      <c r="P410" s="1398"/>
      <c r="Q410" s="1398"/>
      <c r="R410" s="1398"/>
      <c r="S410" s="1398"/>
      <c r="T410" s="1398"/>
      <c r="U410" s="1398"/>
      <c r="V410" s="1398"/>
      <c r="W410" s="1398"/>
      <c r="X410" s="1398"/>
      <c r="Y410" s="1398"/>
      <c r="Z410" s="1398"/>
      <c r="AA410" s="1398"/>
      <c r="AB410" s="1398"/>
      <c r="AC410" s="1398"/>
      <c r="AD410" s="1398"/>
      <c r="AE410" s="1398"/>
    </row>
    <row r="411" spans="1:36" ht="12.95" customHeight="1">
      <c r="E411" t="s">
        <v>106</v>
      </c>
      <c r="R411" s="1379" t="s">
        <v>552</v>
      </c>
      <c r="S411" s="1379"/>
      <c r="AC411" s="27" t="s">
        <v>577</v>
      </c>
      <c r="AD411" s="1608">
        <v>5</v>
      </c>
      <c r="AE411" s="1608"/>
    </row>
    <row r="412" spans="1:36" ht="12.95" customHeight="1">
      <c r="E412" t="s">
        <v>107</v>
      </c>
      <c r="R412" s="1379" t="s">
        <v>598</v>
      </c>
      <c r="S412" s="1379"/>
      <c r="AC412" s="27" t="s">
        <v>577</v>
      </c>
      <c r="AD412" s="1608"/>
      <c r="AE412" s="1608"/>
    </row>
    <row r="413" spans="1:36" ht="12.95" customHeight="1">
      <c r="E413" t="s">
        <v>108</v>
      </c>
      <c r="S413" s="1379" t="s">
        <v>598</v>
      </c>
      <c r="T413" s="1379"/>
    </row>
    <row r="414" spans="1:36" ht="12.95" customHeight="1">
      <c r="E414" t="s">
        <v>169</v>
      </c>
      <c r="H414" s="1850" t="s">
        <v>2768</v>
      </c>
      <c r="I414" s="1850"/>
      <c r="J414" s="1850"/>
      <c r="K414" s="1850"/>
      <c r="L414" s="1850"/>
      <c r="M414" s="1850"/>
      <c r="N414" s="1850"/>
      <c r="O414" s="1850"/>
      <c r="P414" s="1850"/>
      <c r="Q414" s="1850"/>
      <c r="R414" s="1850"/>
      <c r="S414" s="1850"/>
      <c r="T414" s="1850"/>
      <c r="U414" s="1850"/>
      <c r="V414" s="1850"/>
      <c r="W414" s="1850"/>
      <c r="X414" s="1850"/>
      <c r="Y414" s="1850"/>
      <c r="Z414" s="1850"/>
      <c r="AA414" s="1850"/>
      <c r="AB414" s="1850"/>
      <c r="AC414" s="1850"/>
      <c r="AD414" s="1850"/>
      <c r="AE414" s="1850"/>
    </row>
    <row r="415" spans="1:36" ht="12.95" customHeight="1">
      <c r="H415" s="1851"/>
      <c r="I415" s="1851"/>
      <c r="J415" s="1851"/>
      <c r="K415" s="1851"/>
      <c r="L415" s="1851"/>
      <c r="M415" s="1851"/>
      <c r="N415" s="1851"/>
      <c r="O415" s="1851"/>
      <c r="P415" s="1851"/>
      <c r="Q415" s="1851"/>
      <c r="R415" s="1851"/>
      <c r="S415" s="1851"/>
      <c r="T415" s="1851"/>
      <c r="U415" s="1851"/>
      <c r="V415" s="1851"/>
      <c r="W415" s="1851"/>
      <c r="X415" s="1851"/>
      <c r="Y415" s="1851"/>
      <c r="Z415" s="1851"/>
      <c r="AA415" s="1851"/>
      <c r="AB415" s="1851"/>
      <c r="AC415" s="1851"/>
      <c r="AD415" s="1851"/>
      <c r="AE415" s="1851"/>
    </row>
    <row r="416" spans="1:36" ht="12.95" customHeight="1"/>
    <row r="417" spans="1:39" ht="12.95" customHeight="1">
      <c r="A417" s="2" t="s">
        <v>597</v>
      </c>
      <c r="B417" s="2"/>
      <c r="C417" s="2"/>
      <c r="D417" s="2" t="s">
        <v>114</v>
      </c>
      <c r="AF417" s="2" t="s">
        <v>974</v>
      </c>
    </row>
    <row r="418" spans="1:39" ht="12.95" customHeight="1">
      <c r="E418" s="1678"/>
      <c r="F418" s="1678"/>
      <c r="G418" s="1678"/>
      <c r="H418" s="13" t="s">
        <v>115</v>
      </c>
      <c r="I418" s="1678"/>
      <c r="J418" s="1678"/>
      <c r="K418" s="1678"/>
      <c r="L418" t="s">
        <v>116</v>
      </c>
      <c r="N418" s="27" t="s">
        <v>582</v>
      </c>
      <c r="P418" s="1681">
        <v>3.61</v>
      </c>
      <c r="Q418" s="1681"/>
      <c r="R418" s="1681"/>
      <c r="S418" t="s">
        <v>117</v>
      </c>
      <c r="W418" s="1865">
        <f>IF(E418&gt;0,(E418*I418),(P418*43560))</f>
        <v>157251.6</v>
      </c>
      <c r="X418" s="1865"/>
      <c r="Y418" s="1865"/>
      <c r="Z418" t="s">
        <v>118</v>
      </c>
      <c r="AF418" s="1675">
        <f>IFERROR(IF(P418&gt;0,(AG437/P418),(AG437/(W418/43560))),0)</f>
        <v>133.2409972299169</v>
      </c>
      <c r="AG418" s="1675"/>
      <c r="AH418" s="1675"/>
      <c r="AM418" s="3"/>
    </row>
    <row r="419" spans="1:39" ht="12.95" customHeight="1">
      <c r="E419" t="s">
        <v>51</v>
      </c>
    </row>
    <row r="420" spans="1:39" ht="12.95" customHeight="1">
      <c r="E420" s="1863"/>
      <c r="F420" s="1863"/>
      <c r="G420" s="1863"/>
      <c r="H420" s="1863"/>
      <c r="I420" s="1863"/>
      <c r="J420" s="1863"/>
      <c r="K420" s="1863"/>
      <c r="L420" s="1863"/>
      <c r="M420" s="1863"/>
      <c r="N420" s="1863"/>
      <c r="O420" s="1863"/>
      <c r="P420" s="1863"/>
      <c r="Q420" s="1863"/>
      <c r="R420" s="1863"/>
      <c r="S420" s="1863"/>
      <c r="T420" s="1863"/>
      <c r="U420" s="1863"/>
      <c r="V420" s="1863"/>
      <c r="W420" s="1863"/>
      <c r="X420" s="1863"/>
      <c r="Y420" s="1863"/>
      <c r="Z420" s="1863"/>
      <c r="AA420" s="1863"/>
      <c r="AB420" s="1863"/>
      <c r="AC420" s="1863"/>
      <c r="AD420" s="1863"/>
      <c r="AE420" s="1863"/>
      <c r="AF420" s="1863"/>
      <c r="AG420" s="1863"/>
      <c r="AH420" s="1863"/>
      <c r="AI420" s="1863"/>
      <c r="AJ420" s="1863"/>
    </row>
    <row r="421" spans="1:39" ht="12.95" customHeight="1">
      <c r="E421" s="118" t="s">
        <v>1921</v>
      </c>
      <c r="F421" s="1048"/>
      <c r="G421" s="1048"/>
      <c r="H421" s="1048"/>
      <c r="I421" s="1769">
        <v>3.61</v>
      </c>
      <c r="J421" s="1769"/>
      <c r="K421" s="1769"/>
      <c r="L421" s="1048"/>
      <c r="M421" s="118"/>
      <c r="N421" s="1048"/>
      <c r="O421" s="1048"/>
      <c r="P421" s="1472">
        <f>(CS634+CS642+CS658)/I421</f>
        <v>136.01108033240999</v>
      </c>
      <c r="Q421" s="1472"/>
      <c r="R421" s="1472"/>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9">
        <v>2</v>
      </c>
      <c r="Q424" s="1379"/>
      <c r="S424" t="s">
        <v>189</v>
      </c>
      <c r="AE424" s="1379">
        <v>2</v>
      </c>
      <c r="AF424" s="1379"/>
    </row>
    <row r="425" spans="1:39" ht="12.95" customHeight="1">
      <c r="E425" t="s">
        <v>190</v>
      </c>
      <c r="P425" s="1379"/>
      <c r="Q425" s="1379"/>
      <c r="S425" t="s">
        <v>131</v>
      </c>
      <c r="AE425" s="1379" t="s">
        <v>598</v>
      </c>
      <c r="AF425" s="1379"/>
    </row>
    <row r="426" spans="1:39" ht="12.95" customHeight="1">
      <c r="F426" s="28" t="s">
        <v>132</v>
      </c>
    </row>
    <row r="427" spans="1:39" ht="12.95" customHeight="1">
      <c r="F427" s="1780" t="s">
        <v>2769</v>
      </c>
      <c r="G427" s="1780"/>
      <c r="H427" s="1780"/>
      <c r="I427" s="1780"/>
      <c r="J427" s="1780"/>
      <c r="K427" s="1780"/>
      <c r="L427" s="1780"/>
      <c r="M427" s="1780"/>
      <c r="N427" s="1780"/>
      <c r="O427" s="1780"/>
      <c r="P427" s="1780"/>
      <c r="Q427" s="1780"/>
      <c r="R427" s="1780"/>
      <c r="S427" s="1780"/>
      <c r="T427" s="1780"/>
      <c r="U427" s="1780"/>
      <c r="V427" s="1780"/>
      <c r="W427" s="1780"/>
      <c r="X427" s="1780"/>
      <c r="Y427" s="1780"/>
      <c r="Z427" s="1780"/>
      <c r="AA427" s="1780"/>
      <c r="AB427" s="1780"/>
      <c r="AC427" s="1780"/>
      <c r="AD427" s="1780"/>
      <c r="AE427" s="1780"/>
      <c r="AF427" s="1780"/>
      <c r="AG427" s="1780"/>
      <c r="AH427" s="1780"/>
    </row>
    <row r="428" spans="1:39" ht="12.95" customHeight="1">
      <c r="F428" s="1781"/>
      <c r="G428" s="1781"/>
      <c r="H428" s="1781"/>
      <c r="I428" s="1781"/>
      <c r="J428" s="1781"/>
      <c r="K428" s="1781"/>
      <c r="L428" s="1781"/>
      <c r="M428" s="1781"/>
      <c r="N428" s="1781"/>
      <c r="O428" s="1781"/>
      <c r="P428" s="1781"/>
      <c r="Q428" s="1781"/>
      <c r="R428" s="1781"/>
      <c r="S428" s="1781"/>
      <c r="T428" s="1781"/>
      <c r="U428" s="1781"/>
      <c r="V428" s="1781"/>
      <c r="W428" s="1781"/>
      <c r="X428" s="1781"/>
      <c r="Y428" s="1781"/>
      <c r="Z428" s="1781"/>
      <c r="AA428" s="1781"/>
      <c r="AB428" s="1781"/>
      <c r="AC428" s="1781"/>
      <c r="AD428" s="1781"/>
      <c r="AE428" s="1781"/>
      <c r="AF428" s="1781"/>
      <c r="AG428" s="1781"/>
      <c r="AH428" s="1781"/>
    </row>
    <row r="429" spans="1:39" ht="12.95" customHeight="1">
      <c r="E429" t="s">
        <v>615</v>
      </c>
      <c r="P429" s="1"/>
      <c r="Q429" s="1379" t="s">
        <v>552</v>
      </c>
      <c r="R429" s="1379"/>
    </row>
    <row r="430" spans="1:39" ht="12.95" customHeight="1">
      <c r="F430" t="s">
        <v>616</v>
      </c>
      <c r="P430" s="1"/>
      <c r="Q430" s="1"/>
      <c r="AF430" s="1379" t="s">
        <v>598</v>
      </c>
      <c r="AG430" s="1849"/>
    </row>
    <row r="431" spans="1:39" ht="12.95" customHeight="1"/>
    <row r="432" spans="1:39" ht="12.95" customHeight="1">
      <c r="A432" s="2"/>
      <c r="B432" s="2"/>
      <c r="C432" s="2"/>
      <c r="E432" s="4" t="s">
        <v>308</v>
      </c>
      <c r="Z432" s="1379" t="s">
        <v>675</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79" t="s">
        <v>598</v>
      </c>
      <c r="AA434" s="1379"/>
    </row>
    <row r="435" spans="1:110" ht="12.95" customHeight="1"/>
    <row r="436" spans="1:110" ht="12.95" customHeight="1">
      <c r="A436" s="2" t="s">
        <v>474</v>
      </c>
      <c r="B436" s="2"/>
      <c r="C436" s="2"/>
      <c r="D436" s="2" t="s">
        <v>771</v>
      </c>
      <c r="AF436" s="48"/>
    </row>
    <row r="437" spans="1:110" ht="12.95" customHeight="1">
      <c r="D437" s="1615" t="s">
        <v>43</v>
      </c>
      <c r="E437" s="1611"/>
      <c r="F437" s="1611"/>
      <c r="G437" s="1611"/>
      <c r="H437" s="1611"/>
      <c r="I437" s="1611"/>
      <c r="J437" s="1611"/>
      <c r="K437" s="1611"/>
      <c r="L437" s="1611"/>
      <c r="M437" s="1611"/>
      <c r="N437" s="1611"/>
      <c r="O437" s="1611"/>
      <c r="P437" s="1611"/>
      <c r="Q437" s="1611"/>
      <c r="R437" s="1611"/>
      <c r="S437" s="1611"/>
      <c r="T437" s="1611"/>
      <c r="U437" s="1611"/>
      <c r="V437" s="1611"/>
      <c r="W437" s="1611"/>
      <c r="X437" s="1611"/>
      <c r="Y437" s="1611"/>
      <c r="Z437" s="1611"/>
      <c r="AA437" s="1611"/>
      <c r="AB437" s="1611"/>
      <c r="AC437" s="1611"/>
      <c r="AD437" s="1611"/>
      <c r="AE437" s="1611"/>
      <c r="AF437" s="1848"/>
      <c r="AG437" s="1833">
        <v>481</v>
      </c>
      <c r="AH437" s="1833"/>
      <c r="AI437" s="1833"/>
      <c r="AJ437" s="1833"/>
    </row>
    <row r="438" spans="1:110" ht="12.95" customHeight="1">
      <c r="D438" s="1694" t="s">
        <v>1326</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862"/>
      <c r="AH438" s="1365"/>
      <c r="AI438" s="1365"/>
      <c r="AJ438" s="1365"/>
    </row>
    <row r="439" spans="1:110" ht="12.95" customHeight="1">
      <c r="D439" s="1694" t="s">
        <v>1052</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833">
        <v>476</v>
      </c>
      <c r="AH439" s="1833"/>
      <c r="AI439" s="1833"/>
      <c r="AJ439" s="1833"/>
    </row>
    <row r="440" spans="1:110" ht="12.95" customHeight="1">
      <c r="D440" s="1694" t="s">
        <v>1053</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833">
        <v>476</v>
      </c>
      <c r="AH440" s="1833"/>
      <c r="AI440" s="1833"/>
      <c r="AJ440" s="1833"/>
    </row>
    <row r="441" spans="1:110" ht="12.95" customHeight="1">
      <c r="D441" s="1694" t="s">
        <v>1055</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835">
        <f>IF(ISERROR(AG440/AG439),"",AG440/AG439)</f>
        <v>1</v>
      </c>
      <c r="AH441" s="1835"/>
      <c r="AI441" s="1835"/>
      <c r="AJ441" s="1835"/>
    </row>
    <row r="442" spans="1:110" ht="12.95" customHeight="1">
      <c r="D442" s="1694" t="s">
        <v>1054</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834">
        <v>225604</v>
      </c>
      <c r="AH442" s="1834"/>
      <c r="AI442" s="1834"/>
      <c r="AJ442" s="1834"/>
    </row>
    <row r="443" spans="1:110" ht="12.95" customHeight="1">
      <c r="D443" s="1694" t="s">
        <v>1056</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834">
        <v>225604</v>
      </c>
      <c r="AH443" s="1834"/>
      <c r="AI443" s="1834"/>
      <c r="AJ443" s="1834"/>
    </row>
    <row r="444" spans="1:110" ht="12.95" customHeight="1">
      <c r="D444" s="1694" t="s">
        <v>1057</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835">
        <f>IF(ISERROR(AG443/AG442),"",AG443/AG442)</f>
        <v>1</v>
      </c>
      <c r="AH444" s="1835"/>
      <c r="AI444" s="1835"/>
      <c r="AJ444" s="1835"/>
    </row>
    <row r="445" spans="1:110" ht="12.95" customHeight="1">
      <c r="D445" s="1694" t="s">
        <v>1058</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835">
        <f>MIN(IF(AG441&gt;AG444,AG444,AG441),1)</f>
        <v>1</v>
      </c>
      <c r="AH445" s="1835"/>
      <c r="AI445" s="1835"/>
      <c r="AJ445" s="1835"/>
    </row>
    <row r="446" spans="1:110" ht="12.95" customHeight="1">
      <c r="D446" s="1694" t="s">
        <v>2399</v>
      </c>
      <c r="E446" s="1611"/>
      <c r="F446" s="1611"/>
      <c r="G446" s="1611"/>
      <c r="H446" s="1611"/>
      <c r="I446" s="1611"/>
      <c r="J446" s="1611"/>
      <c r="K446" s="1611"/>
      <c r="L446" s="1611"/>
      <c r="M446" s="1611"/>
      <c r="N446" s="1611"/>
      <c r="O446" s="1611"/>
      <c r="P446" s="1611"/>
      <c r="Q446" s="1611"/>
      <c r="R446" s="1611"/>
      <c r="S446" s="1611"/>
      <c r="T446" s="1611"/>
      <c r="U446" s="1611"/>
      <c r="V446" s="1611"/>
      <c r="W446" s="1611"/>
      <c r="X446" s="1611"/>
      <c r="Y446" s="1611"/>
      <c r="Z446" s="1611"/>
      <c r="AA446" s="1611"/>
      <c r="AB446" s="1611"/>
      <c r="AC446" s="1611"/>
      <c r="AD446" s="1611"/>
      <c r="AE446" s="1611"/>
      <c r="AF446" s="1848"/>
      <c r="AG446" s="1834">
        <v>8047</v>
      </c>
      <c r="AH446" s="1834"/>
      <c r="AI446" s="1834"/>
      <c r="AJ446" s="183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5" t="s">
        <v>576</v>
      </c>
      <c r="E447" s="1611"/>
      <c r="F447" s="1611"/>
      <c r="G447" s="1611"/>
      <c r="H447" s="1611"/>
      <c r="I447" s="1611"/>
      <c r="J447" s="1611"/>
      <c r="K447" s="1611"/>
      <c r="L447" s="1611"/>
      <c r="M447" s="1611"/>
      <c r="N447" s="1611"/>
      <c r="O447" s="1611"/>
      <c r="P447" s="1611"/>
      <c r="Q447" s="1611"/>
      <c r="R447" s="1611"/>
      <c r="S447" s="1611"/>
      <c r="T447" s="1611"/>
      <c r="U447" s="1611"/>
      <c r="V447" s="1611"/>
      <c r="W447" s="1611"/>
      <c r="X447" s="1611"/>
      <c r="Y447" s="1611"/>
      <c r="Z447" s="1611"/>
      <c r="AA447" s="1611"/>
      <c r="AB447" s="1611"/>
      <c r="AC447" s="1611"/>
      <c r="AD447" s="1611"/>
      <c r="AE447" s="1611"/>
      <c r="AF447" s="1848"/>
      <c r="AG447" s="1834"/>
      <c r="AH447" s="1834"/>
      <c r="AI447" s="1834"/>
      <c r="AJ447" s="183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4" t="s">
        <v>1308</v>
      </c>
      <c r="E448" s="1611"/>
      <c r="F448" s="1611"/>
      <c r="G448" s="1611"/>
      <c r="H448" s="1611"/>
      <c r="I448" s="1611"/>
      <c r="J448" s="1611"/>
      <c r="K448" s="1611"/>
      <c r="L448" s="1611"/>
      <c r="M448" s="1611"/>
      <c r="N448" s="1611"/>
      <c r="O448" s="1611"/>
      <c r="P448" s="1611"/>
      <c r="Q448" s="1611"/>
      <c r="R448" s="1611"/>
      <c r="S448" s="1611"/>
      <c r="T448" s="1611"/>
      <c r="U448" s="1611"/>
      <c r="V448" s="1611"/>
      <c r="W448" s="1611"/>
      <c r="X448" s="1611"/>
      <c r="Y448" s="1611"/>
      <c r="Z448" s="1611"/>
      <c r="AA448" s="1611"/>
      <c r="AB448" s="1611"/>
      <c r="AC448" s="1611"/>
      <c r="AD448" s="1611"/>
      <c r="AE448" s="1611"/>
      <c r="AF448" s="1848"/>
      <c r="AG448" s="1834">
        <v>69503</v>
      </c>
      <c r="AH448" s="1834"/>
      <c r="AI448" s="1834"/>
      <c r="AJ448" s="183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4" t="s">
        <v>1059</v>
      </c>
      <c r="E449" s="1611"/>
      <c r="F449" s="1611"/>
      <c r="G449" s="1611"/>
      <c r="H449" s="1611"/>
      <c r="I449" s="1611"/>
      <c r="J449" s="1611"/>
      <c r="K449" s="1611"/>
      <c r="L449" s="1611"/>
      <c r="M449" s="1611"/>
      <c r="N449" s="1611"/>
      <c r="O449" s="1611"/>
      <c r="P449" s="1611"/>
      <c r="Q449" s="1611"/>
      <c r="R449" s="1611"/>
      <c r="S449" s="1611"/>
      <c r="T449" s="1611"/>
      <c r="U449" s="1611"/>
      <c r="V449" s="1611"/>
      <c r="W449" s="1611"/>
      <c r="X449" s="1611"/>
      <c r="Y449" s="1611"/>
      <c r="Z449" s="1611"/>
      <c r="AA449" s="1611"/>
      <c r="AB449" s="1611"/>
      <c r="AC449" s="1611"/>
      <c r="AD449" s="1611"/>
      <c r="AE449" s="1611"/>
      <c r="AF449" s="1848"/>
      <c r="AG449" s="1834"/>
      <c r="AH449" s="1834"/>
      <c r="AI449" s="1834"/>
      <c r="AJ449" s="183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7" t="s">
        <v>1060</v>
      </c>
      <c r="E450" s="1808"/>
      <c r="F450" s="1808"/>
      <c r="G450" s="1808"/>
      <c r="H450" s="1808"/>
      <c r="I450" s="1808"/>
      <c r="J450" s="1808"/>
      <c r="K450" s="1808"/>
      <c r="L450" s="1808"/>
      <c r="M450" s="1808"/>
      <c r="N450" s="1808"/>
      <c r="O450" s="1808"/>
      <c r="P450" s="1808"/>
      <c r="Q450" s="1808"/>
      <c r="R450" s="1808"/>
      <c r="S450" s="1808"/>
      <c r="T450" s="1808"/>
      <c r="U450" s="1808"/>
      <c r="V450" s="1808"/>
      <c r="W450" s="1808"/>
      <c r="X450" s="1808"/>
      <c r="Y450" s="1808"/>
      <c r="Z450" s="1808"/>
      <c r="AA450" s="1808"/>
      <c r="AB450" s="1808"/>
      <c r="AC450" s="1808"/>
      <c r="AD450" s="1808"/>
      <c r="AE450" s="1808"/>
      <c r="AF450" s="1809"/>
      <c r="AG450" s="1858">
        <f>AG442+AG446+AG448+AG449</f>
        <v>303154</v>
      </c>
      <c r="AH450" s="1858"/>
      <c r="AI450" s="1858"/>
      <c r="AJ450" s="185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0" t="s">
        <v>1309</v>
      </c>
      <c r="E451" s="1810"/>
      <c r="F451" s="1810"/>
      <c r="G451" s="1810"/>
      <c r="H451" s="1810"/>
      <c r="I451" s="1810"/>
      <c r="J451" s="1810"/>
      <c r="K451" s="1810"/>
      <c r="L451" s="1810"/>
      <c r="M451" s="1810"/>
      <c r="N451" s="1810"/>
      <c r="O451" s="1810"/>
      <c r="P451" s="1810"/>
      <c r="Q451" s="1810"/>
      <c r="R451" s="1810"/>
      <c r="S451" s="1810"/>
      <c r="T451" s="1810"/>
      <c r="U451" s="1810"/>
      <c r="V451" s="1810"/>
      <c r="W451" s="1810"/>
      <c r="X451" s="1810"/>
      <c r="Y451" s="1810"/>
      <c r="Z451" s="1810"/>
      <c r="AA451" s="1810"/>
      <c r="AB451" s="1810"/>
      <c r="AC451" s="1810"/>
      <c r="AD451" s="1810"/>
      <c r="AE451" s="1810"/>
      <c r="AF451" s="1810"/>
      <c r="AG451" s="1810"/>
      <c r="AH451" s="1810"/>
      <c r="AI451" s="1810"/>
      <c r="AJ451" s="181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1"/>
      <c r="E452" s="1811"/>
      <c r="F452" s="1811"/>
      <c r="G452" s="1811"/>
      <c r="H452" s="1811"/>
      <c r="I452" s="1811"/>
      <c r="J452" s="1811"/>
      <c r="K452" s="1811"/>
      <c r="L452" s="1811"/>
      <c r="M452" s="1811"/>
      <c r="N452" s="1811"/>
      <c r="O452" s="1811"/>
      <c r="P452" s="1811"/>
      <c r="Q452" s="1811"/>
      <c r="R452" s="1811"/>
      <c r="S452" s="1811"/>
      <c r="T452" s="1811"/>
      <c r="U452" s="1811"/>
      <c r="V452" s="1811"/>
      <c r="W452" s="1811"/>
      <c r="X452" s="1811"/>
      <c r="Y452" s="1811"/>
      <c r="Z452" s="1811"/>
      <c r="AA452" s="1811"/>
      <c r="AB452" s="1811"/>
      <c r="AC452" s="1811"/>
      <c r="AD452" s="1811"/>
      <c r="AE452" s="1811"/>
      <c r="AF452" s="1811"/>
      <c r="AG452" s="1811"/>
      <c r="AH452" s="1811"/>
      <c r="AI452" s="1811"/>
      <c r="AJ452" s="181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2">
        <f>IF(AG437=0,"",'Sources and Uses Budget'!B105/Application!AG437)</f>
        <v>409085.55093555094</v>
      </c>
      <c r="AD454" s="1852"/>
      <c r="AE454" s="1852"/>
      <c r="AF454" s="185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2">
        <f>IF(AG437=0,"",'Sources and Uses Budget'!C105/Application!AG437)</f>
        <v>409085.55093555094</v>
      </c>
      <c r="AD455" s="1852"/>
      <c r="AE455" s="1852"/>
      <c r="AF455" s="185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2">
        <f>IF(AG437=0,"",('Sources and Uses Budget'!$S$107+'Sources and Uses Budget'!$T$107)/Application!AG437)</f>
        <v>392142.40956340957</v>
      </c>
      <c r="AD456" s="1852"/>
      <c r="AE456" s="1852"/>
      <c r="AF456" s="185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4" t="str">
        <f>IFERROR(IF(AC454&gt;650000,"Please provide a justification of cost per unit in Tab 12 for all projects with per unit costs of greater than $650,000.",""),"")</f>
        <v/>
      </c>
      <c r="G457" s="1424"/>
      <c r="H457" s="1424"/>
      <c r="I457" s="1424"/>
      <c r="J457" s="1424"/>
      <c r="K457" s="1424"/>
      <c r="L457" s="1424"/>
      <c r="M457" s="1424"/>
      <c r="N457" s="1424"/>
      <c r="O457" s="1424"/>
      <c r="P457" s="1424"/>
      <c r="Q457" s="1424"/>
      <c r="R457" s="1424"/>
      <c r="S457" s="1424"/>
      <c r="T457" s="1424"/>
      <c r="U457" s="1424"/>
      <c r="V457" s="1424"/>
      <c r="W457" s="1424"/>
      <c r="X457" s="1424"/>
      <c r="Y457" s="1424"/>
      <c r="Z457" s="1424"/>
      <c r="AA457" s="1424"/>
      <c r="AB457" s="142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4"/>
      <c r="G458" s="1424"/>
      <c r="H458" s="1424"/>
      <c r="I458" s="1424"/>
      <c r="J458" s="1424"/>
      <c r="K458" s="1424"/>
      <c r="L458" s="1424"/>
      <c r="M458" s="1424"/>
      <c r="N458" s="1424"/>
      <c r="O458" s="1424"/>
      <c r="P458" s="1424"/>
      <c r="Q458" s="1424"/>
      <c r="R458" s="1424"/>
      <c r="S458" s="1424"/>
      <c r="T458" s="1424"/>
      <c r="U458" s="1424"/>
      <c r="V458" s="1424"/>
      <c r="W458" s="1424"/>
      <c r="X458" s="1424"/>
      <c r="Y458" s="1424"/>
      <c r="Z458" s="1424"/>
      <c r="AA458" s="1424"/>
      <c r="AB458" s="142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9" t="s">
        <v>2413</v>
      </c>
      <c r="E465" s="1688"/>
      <c r="F465" s="1688"/>
      <c r="G465" s="1688"/>
      <c r="H465" s="1688"/>
      <c r="I465" s="1688"/>
      <c r="J465" s="1688"/>
      <c r="K465" s="1688"/>
      <c r="L465" s="1688"/>
      <c r="M465" s="1688"/>
      <c r="N465" s="1688"/>
      <c r="O465" s="1688"/>
      <c r="P465" s="1688"/>
      <c r="Q465" s="1688"/>
      <c r="R465" s="1688"/>
      <c r="S465" s="1688"/>
      <c r="T465" s="1688"/>
      <c r="U465" s="1688"/>
      <c r="V465" s="1689"/>
      <c r="W465" s="1684"/>
      <c r="X465" s="1685"/>
      <c r="Y465" s="168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87" t="s">
        <v>700</v>
      </c>
      <c r="E466" s="1688"/>
      <c r="F466" s="1688"/>
      <c r="G466" s="1688"/>
      <c r="H466" s="1688"/>
      <c r="I466" s="1688"/>
      <c r="J466" s="1688"/>
      <c r="K466" s="1688"/>
      <c r="L466" s="1688"/>
      <c r="M466" s="1688"/>
      <c r="N466" s="1688"/>
      <c r="O466" s="1688"/>
      <c r="P466" s="1688"/>
      <c r="Q466" s="1688"/>
      <c r="R466" s="1688"/>
      <c r="S466" s="1688"/>
      <c r="T466" s="1688"/>
      <c r="U466" s="1688"/>
      <c r="V466" s="1689"/>
      <c r="W466" s="1684"/>
      <c r="X466" s="1685"/>
      <c r="Y466" s="168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87" t="s">
        <v>701</v>
      </c>
      <c r="E467" s="1688"/>
      <c r="F467" s="1688"/>
      <c r="G467" s="1688"/>
      <c r="H467" s="1688"/>
      <c r="I467" s="1688"/>
      <c r="J467" s="1688"/>
      <c r="K467" s="1688"/>
      <c r="L467" s="1688"/>
      <c r="M467" s="1688"/>
      <c r="N467" s="1688"/>
      <c r="O467" s="1688"/>
      <c r="P467" s="1688"/>
      <c r="Q467" s="1688"/>
      <c r="R467" s="1688"/>
      <c r="S467" s="1688"/>
      <c r="T467" s="1688"/>
      <c r="U467" s="1688"/>
      <c r="V467" s="1689"/>
      <c r="W467" s="1684"/>
      <c r="X467" s="1685"/>
      <c r="Y467" s="168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87" t="s">
        <v>702</v>
      </c>
      <c r="E468" s="1688"/>
      <c r="F468" s="1688"/>
      <c r="G468" s="1688"/>
      <c r="H468" s="1688"/>
      <c r="I468" s="1688"/>
      <c r="J468" s="1688"/>
      <c r="K468" s="1688"/>
      <c r="L468" s="1688"/>
      <c r="M468" s="1688"/>
      <c r="N468" s="1688"/>
      <c r="O468" s="1688"/>
      <c r="P468" s="1688"/>
      <c r="Q468" s="1688"/>
      <c r="R468" s="1688"/>
      <c r="S468" s="1688"/>
      <c r="T468" s="1688"/>
      <c r="U468" s="1688"/>
      <c r="V468" s="1689"/>
      <c r="W468" s="1684"/>
      <c r="X468" s="1685"/>
      <c r="Y468" s="168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87" t="s">
        <v>891</v>
      </c>
      <c r="E469" s="1688"/>
      <c r="F469" s="1688"/>
      <c r="G469" s="1688"/>
      <c r="H469" s="1688"/>
      <c r="I469" s="1688"/>
      <c r="J469" s="1688"/>
      <c r="K469" s="1688"/>
      <c r="L469" s="1688"/>
      <c r="M469" s="1688"/>
      <c r="N469" s="1688"/>
      <c r="O469" s="1688"/>
      <c r="P469" s="1688"/>
      <c r="Q469" s="1688"/>
      <c r="R469" s="1688"/>
      <c r="S469" s="1688"/>
      <c r="T469" s="1688"/>
      <c r="U469" s="1688"/>
      <c r="V469" s="1689"/>
      <c r="W469" s="1684"/>
      <c r="X469" s="1685"/>
      <c r="Y469" s="168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87" t="s">
        <v>703</v>
      </c>
      <c r="E470" s="1688"/>
      <c r="F470" s="1688"/>
      <c r="G470" s="1688"/>
      <c r="H470" s="1688"/>
      <c r="I470" s="1688"/>
      <c r="J470" s="1688"/>
      <c r="K470" s="1688"/>
      <c r="L470" s="1688"/>
      <c r="M470" s="1688"/>
      <c r="N470" s="1688"/>
      <c r="O470" s="1688"/>
      <c r="P470" s="1688"/>
      <c r="Q470" s="1688"/>
      <c r="R470" s="1688"/>
      <c r="S470" s="1688"/>
      <c r="T470" s="1688"/>
      <c r="U470" s="1688"/>
      <c r="V470" s="1689"/>
      <c r="W470" s="1684"/>
      <c r="X470" s="1685"/>
      <c r="Y470" s="168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87" t="s">
        <v>1033</v>
      </c>
      <c r="E471" s="1688"/>
      <c r="F471" s="1688"/>
      <c r="G471" s="1688"/>
      <c r="H471" s="1688"/>
      <c r="I471" s="1688"/>
      <c r="J471" s="1688"/>
      <c r="K471" s="1688"/>
      <c r="L471" s="1688"/>
      <c r="M471" s="1688"/>
      <c r="N471" s="1688"/>
      <c r="O471" s="1688"/>
      <c r="P471" s="1688"/>
      <c r="Q471" s="1688"/>
      <c r="R471" s="1688"/>
      <c r="S471" s="1688"/>
      <c r="T471" s="1688"/>
      <c r="U471" s="1688"/>
      <c r="V471" s="1689"/>
      <c r="W471" s="1684"/>
      <c r="X471" s="1685"/>
      <c r="Y471" s="168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9" t="s">
        <v>2548</v>
      </c>
      <c r="E472" s="1856"/>
      <c r="F472" s="1856"/>
      <c r="G472" s="1856"/>
      <c r="H472" s="1856"/>
      <c r="I472" s="1856"/>
      <c r="J472" s="1856"/>
      <c r="K472" s="1856"/>
      <c r="L472" s="1856"/>
      <c r="M472" s="1856"/>
      <c r="N472" s="1856"/>
      <c r="O472" s="1856"/>
      <c r="P472" s="1856"/>
      <c r="Q472" s="1856"/>
      <c r="R472" s="1856"/>
      <c r="S472" s="1856"/>
      <c r="T472" s="1856"/>
      <c r="U472" s="1856"/>
      <c r="V472" s="1857"/>
      <c r="W472" s="1684"/>
      <c r="X472" s="1685"/>
      <c r="Y472" s="168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9" t="s">
        <v>1762</v>
      </c>
      <c r="E473" s="1688"/>
      <c r="F473" s="1688"/>
      <c r="G473" s="1688"/>
      <c r="H473" s="1688"/>
      <c r="I473" s="1688"/>
      <c r="J473" s="1688"/>
      <c r="K473" s="1688"/>
      <c r="L473" s="1688"/>
      <c r="M473" s="1688"/>
      <c r="N473" s="1688"/>
      <c r="O473" s="1688"/>
      <c r="P473" s="1688"/>
      <c r="Q473" s="1688"/>
      <c r="R473" s="1688"/>
      <c r="S473" s="1688"/>
      <c r="T473" s="1688"/>
      <c r="U473" s="1688"/>
      <c r="V473" s="1689"/>
      <c r="W473" s="1684">
        <v>73</v>
      </c>
      <c r="X473" s="1685"/>
      <c r="Y473" s="168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3" t="s">
        <v>2714</v>
      </c>
      <c r="H474" s="1814"/>
      <c r="I474" s="1814"/>
      <c r="J474" s="1814"/>
      <c r="K474" s="1814"/>
      <c r="L474" s="1814"/>
      <c r="M474" s="1814"/>
      <c r="N474" s="1814"/>
      <c r="O474" s="1814"/>
      <c r="P474" s="1814"/>
      <c r="Q474" s="1814"/>
      <c r="R474" s="1814"/>
      <c r="S474" s="1814"/>
      <c r="T474" s="1814"/>
      <c r="U474" s="1814"/>
      <c r="V474" s="1815"/>
      <c r="W474" s="1684">
        <v>49</v>
      </c>
      <c r="X474" s="1685"/>
      <c r="Y474" s="168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0" t="s">
        <v>817</v>
      </c>
      <c r="B480" s="1440"/>
      <c r="C480" s="1440"/>
      <c r="D480" s="1440"/>
      <c r="E480" s="1440"/>
      <c r="F480" s="1440"/>
      <c r="G480" s="1440"/>
      <c r="H480" s="1440"/>
      <c r="I480" s="1440"/>
      <c r="J480" s="1440"/>
      <c r="K480" s="1440"/>
      <c r="L480" s="1440"/>
      <c r="M480" s="1440"/>
      <c r="N480" s="1440"/>
      <c r="O480" s="1440"/>
      <c r="P480" s="1440"/>
      <c r="Q480" s="1440"/>
      <c r="R480" s="1440"/>
      <c r="S480" s="1440"/>
      <c r="T480" s="1440"/>
      <c r="U480" s="1440"/>
      <c r="V480" s="1440"/>
      <c r="W480" s="1440"/>
      <c r="X480" s="1440"/>
      <c r="Y480" s="1440"/>
      <c r="Z480" s="1440"/>
      <c r="AA480" s="1440"/>
      <c r="AB480" s="1440"/>
      <c r="AC480" s="1440"/>
      <c r="AD480" s="1440"/>
      <c r="AE480" s="1440"/>
      <c r="AF480" s="1440"/>
      <c r="AG480" s="1440"/>
      <c r="AH480" s="1440"/>
      <c r="AI480" s="1440"/>
      <c r="AJ480" s="1440"/>
      <c r="AK480" s="1440"/>
      <c r="AL480" s="1440"/>
      <c r="AM480" s="1440"/>
      <c r="AN480" s="1440"/>
      <c r="AO480" s="1440"/>
      <c r="AP480" s="1440"/>
      <c r="AQ480" s="1440"/>
      <c r="AR480" s="1440"/>
      <c r="AS480" s="1440"/>
      <c r="AT480" s="14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0"/>
      <c r="B481" s="1440"/>
      <c r="C481" s="1440"/>
      <c r="D481" s="1440"/>
      <c r="E481" s="1440"/>
      <c r="F481" s="1440"/>
      <c r="G481" s="1440"/>
      <c r="H481" s="1440"/>
      <c r="I481" s="1440"/>
      <c r="J481" s="1440"/>
      <c r="K481" s="1440"/>
      <c r="L481" s="1440"/>
      <c r="M481" s="1440"/>
      <c r="N481" s="1440"/>
      <c r="O481" s="1440"/>
      <c r="P481" s="1440"/>
      <c r="Q481" s="1440"/>
      <c r="R481" s="1440"/>
      <c r="S481" s="1440"/>
      <c r="T481" s="1440"/>
      <c r="U481" s="1440"/>
      <c r="V481" s="1440"/>
      <c r="W481" s="1440"/>
      <c r="X481" s="1440"/>
      <c r="Y481" s="1440"/>
      <c r="Z481" s="1440"/>
      <c r="AA481" s="1440"/>
      <c r="AB481" s="1440"/>
      <c r="AC481" s="1440"/>
      <c r="AD481" s="1440"/>
      <c r="AE481" s="1440"/>
      <c r="AF481" s="1440"/>
      <c r="AG481" s="1440"/>
      <c r="AH481" s="1440"/>
      <c r="AI481" s="1440"/>
      <c r="AJ481" s="1440"/>
      <c r="AK481" s="1440"/>
      <c r="AL481" s="1440"/>
      <c r="AM481" s="1440"/>
      <c r="AN481" s="1440"/>
      <c r="AO481" s="1440"/>
      <c r="AP481" s="1440"/>
      <c r="AQ481" s="1440"/>
      <c r="AR481" s="1440"/>
      <c r="AS481" s="1440"/>
      <c r="AT481" s="14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47" t="s">
        <v>393</v>
      </c>
      <c r="R485" s="1825"/>
      <c r="S485" s="1825"/>
      <c r="T485" s="1825"/>
      <c r="U485" s="1825"/>
      <c r="V485" s="1825"/>
      <c r="W485" s="1825"/>
      <c r="X485" s="1825"/>
      <c r="Y485" s="1825"/>
      <c r="Z485" s="1825"/>
      <c r="AA485" s="1825"/>
      <c r="AB485" s="1825"/>
      <c r="AC485" s="1825"/>
      <c r="AD485" s="1825"/>
      <c r="AE485" s="1825"/>
      <c r="AF485" s="1825"/>
      <c r="AG485" s="1825"/>
      <c r="AH485" s="1825"/>
      <c r="AI485" s="1825"/>
      <c r="AJ485" s="1825"/>
      <c r="AK485" s="182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73" t="s">
        <v>2770</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674"/>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73" t="s">
        <v>2771</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674"/>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73" t="s">
        <v>2771</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67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6" t="s">
        <v>397</v>
      </c>
      <c r="C489" s="1837"/>
      <c r="D489" s="1837"/>
      <c r="E489" s="1837"/>
      <c r="F489" s="1837"/>
      <c r="G489" s="1837"/>
      <c r="H489" s="1837"/>
      <c r="I489" s="1837"/>
      <c r="J489" s="1837"/>
      <c r="K489" s="1837"/>
      <c r="L489" s="1837"/>
      <c r="M489" s="1837"/>
      <c r="N489" s="1837"/>
      <c r="O489" s="1837"/>
      <c r="P489" s="1838"/>
      <c r="Q489" s="1842" t="s">
        <v>552</v>
      </c>
      <c r="R489" s="1843"/>
      <c r="S489" s="1820" t="s">
        <v>2772</v>
      </c>
      <c r="T489" s="1821"/>
      <c r="U489" s="1821"/>
      <c r="V489" s="1821"/>
      <c r="W489" s="1821"/>
      <c r="X489" s="1821"/>
      <c r="Y489" s="1821"/>
      <c r="Z489" s="1821"/>
      <c r="AA489" s="1821"/>
      <c r="AB489" s="1821"/>
      <c r="AC489" s="1821"/>
      <c r="AD489" s="1821"/>
      <c r="AE489" s="1821"/>
      <c r="AF489" s="1821"/>
      <c r="AG489" s="1821"/>
      <c r="AH489" s="1821"/>
      <c r="AI489" s="1821"/>
      <c r="AJ489" s="1821"/>
      <c r="AK489" s="18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9"/>
      <c r="C490" s="1840"/>
      <c r="D490" s="1840"/>
      <c r="E490" s="1840"/>
      <c r="F490" s="1840"/>
      <c r="G490" s="1840"/>
      <c r="H490" s="1840"/>
      <c r="I490" s="1840"/>
      <c r="J490" s="1840"/>
      <c r="K490" s="1840"/>
      <c r="L490" s="1840"/>
      <c r="M490" s="1840"/>
      <c r="N490" s="1840"/>
      <c r="O490" s="1840"/>
      <c r="P490" s="1841"/>
      <c r="Q490" s="1844"/>
      <c r="R490" s="1845"/>
      <c r="S490" s="1823"/>
      <c r="T490" s="1781"/>
      <c r="U490" s="1781"/>
      <c r="V490" s="1781"/>
      <c r="W490" s="1781"/>
      <c r="X490" s="1781"/>
      <c r="Y490" s="1781"/>
      <c r="Z490" s="1781"/>
      <c r="AA490" s="1781"/>
      <c r="AB490" s="1781"/>
      <c r="AC490" s="1781"/>
      <c r="AD490" s="1781"/>
      <c r="AE490" s="1781"/>
      <c r="AF490" s="1781"/>
      <c r="AG490" s="1781"/>
      <c r="AH490" s="1781"/>
      <c r="AI490" s="1781"/>
      <c r="AJ490" s="1781"/>
      <c r="AK490" s="182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853" t="s">
        <v>675</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73" t="s">
        <v>2773</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67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73" t="s">
        <v>2748</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67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673">
        <v>57</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67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35">
        <v>0</v>
      </c>
      <c r="N495" s="1436"/>
      <c r="O495" s="1436"/>
      <c r="P495" s="1437"/>
      <c r="Q495" s="121" t="s">
        <v>1779</v>
      </c>
      <c r="R495" s="5"/>
      <c r="S495" s="5"/>
      <c r="T495" s="5"/>
      <c r="U495" s="5"/>
      <c r="V495" s="5"/>
      <c r="W495" s="5"/>
      <c r="X495" s="5"/>
      <c r="Y495" s="5"/>
      <c r="Z495" s="5"/>
      <c r="AA495" s="5"/>
      <c r="AB495" s="5"/>
      <c r="AC495" s="5"/>
      <c r="AD495" s="5"/>
      <c r="AE495" s="5"/>
      <c r="AF495" s="5"/>
      <c r="AG495" s="5"/>
      <c r="AH495" s="1435">
        <v>57</v>
      </c>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7" t="s">
        <v>401</v>
      </c>
      <c r="AD499" s="1825"/>
      <c r="AE499" s="1825"/>
      <c r="AF499" s="1825"/>
      <c r="AG499" s="1825"/>
      <c r="AH499" s="1825"/>
      <c r="AI499" s="1825"/>
      <c r="AJ499" s="1825"/>
      <c r="AK499" s="182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7" t="s">
        <v>402</v>
      </c>
      <c r="AD500" s="1825"/>
      <c r="AE500" s="1825"/>
      <c r="AF500" s="1825"/>
      <c r="AG500" s="50" t="s">
        <v>403</v>
      </c>
      <c r="AH500" s="1825" t="s">
        <v>404</v>
      </c>
      <c r="AI500" s="1825"/>
      <c r="AJ500" s="1825"/>
      <c r="AK500" s="182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9" t="s">
        <v>405</v>
      </c>
      <c r="C501" s="1507"/>
      <c r="D501" s="1507"/>
      <c r="E501" s="1507"/>
      <c r="F501" s="1507"/>
      <c r="G501" s="1507"/>
      <c r="H501" s="1508"/>
      <c r="I501" s="42" t="s">
        <v>406</v>
      </c>
      <c r="J501" s="42"/>
      <c r="K501" s="42"/>
      <c r="L501" s="42"/>
      <c r="M501" s="42"/>
      <c r="N501" s="42"/>
      <c r="O501" s="42"/>
      <c r="P501" s="42"/>
      <c r="Q501" s="42"/>
      <c r="R501" s="42"/>
      <c r="S501" s="42"/>
      <c r="T501" s="42"/>
      <c r="U501" s="42"/>
      <c r="V501" s="42"/>
      <c r="W501" s="42"/>
      <c r="AC501" s="1762" t="s">
        <v>598</v>
      </c>
      <c r="AD501" s="1608"/>
      <c r="AE501" s="1608"/>
      <c r="AF501" s="1608"/>
      <c r="AG501" s="13" t="s">
        <v>403</v>
      </c>
      <c r="AH501" s="1640"/>
      <c r="AI501" s="1640"/>
      <c r="AJ501" s="1640"/>
      <c r="AK501" s="164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0"/>
      <c r="C502" s="1509"/>
      <c r="D502" s="1509"/>
      <c r="E502" s="1509"/>
      <c r="F502" s="1509"/>
      <c r="G502" s="1509"/>
      <c r="H502" s="1510"/>
      <c r="I502" s="48" t="s">
        <v>407</v>
      </c>
      <c r="J502" s="48"/>
      <c r="K502" s="48"/>
      <c r="L502" s="48"/>
      <c r="M502" s="48"/>
      <c r="N502" s="48"/>
      <c r="O502" s="48"/>
      <c r="P502" s="48"/>
      <c r="Q502" s="48"/>
      <c r="R502" s="48"/>
      <c r="S502" s="48"/>
      <c r="T502" s="48"/>
      <c r="U502" s="48"/>
      <c r="V502" s="48"/>
      <c r="W502" s="48"/>
      <c r="X502" s="48"/>
      <c r="Y502" s="48"/>
      <c r="Z502" s="48"/>
      <c r="AA502" s="48"/>
      <c r="AB502" s="48"/>
      <c r="AC502" s="1762">
        <v>6</v>
      </c>
      <c r="AD502" s="1608"/>
      <c r="AE502" s="1608"/>
      <c r="AF502" s="1608"/>
      <c r="AG502" s="38" t="s">
        <v>403</v>
      </c>
      <c r="AH502" s="1640">
        <v>2025</v>
      </c>
      <c r="AI502" s="1640"/>
      <c r="AJ502" s="1640"/>
      <c r="AK502" s="164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9" t="s">
        <v>408</v>
      </c>
      <c r="C503" s="1507"/>
      <c r="D503" s="1507"/>
      <c r="E503" s="1507"/>
      <c r="F503" s="1507"/>
      <c r="G503" s="1507"/>
      <c r="H503" s="1508"/>
      <c r="I503" s="42" t="s">
        <v>409</v>
      </c>
      <c r="J503" s="42"/>
      <c r="K503" s="42"/>
      <c r="L503" s="42"/>
      <c r="M503" s="42"/>
      <c r="N503" s="42"/>
      <c r="O503" s="42"/>
      <c r="P503" s="42"/>
      <c r="Q503" s="42"/>
      <c r="R503" s="42"/>
      <c r="S503" s="42"/>
      <c r="T503" s="42"/>
      <c r="U503" s="42"/>
      <c r="V503" s="42"/>
      <c r="W503" s="42"/>
      <c r="AC503" s="1762" t="s">
        <v>598</v>
      </c>
      <c r="AD503" s="1608"/>
      <c r="AE503" s="1608"/>
      <c r="AF503" s="1608"/>
      <c r="AG503" s="13" t="s">
        <v>403</v>
      </c>
      <c r="AH503" s="1640"/>
      <c r="AI503" s="1640"/>
      <c r="AJ503" s="1640"/>
      <c r="AK503" s="164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0"/>
      <c r="C504" s="1509"/>
      <c r="D504" s="1509"/>
      <c r="E504" s="1509"/>
      <c r="F504" s="1509"/>
      <c r="G504" s="1509"/>
      <c r="H504" s="1510"/>
      <c r="I504" t="s">
        <v>410</v>
      </c>
      <c r="AC504" s="1762" t="s">
        <v>598</v>
      </c>
      <c r="AD504" s="1608"/>
      <c r="AE504" s="1608"/>
      <c r="AF504" s="1608"/>
      <c r="AG504" s="13" t="s">
        <v>403</v>
      </c>
      <c r="AH504" s="1640"/>
      <c r="AI504" s="1640"/>
      <c r="AJ504" s="1640"/>
      <c r="AK504" s="164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0"/>
      <c r="C505" s="1509"/>
      <c r="D505" s="1509"/>
      <c r="E505" s="1509"/>
      <c r="F505" s="1509"/>
      <c r="G505" s="1509"/>
      <c r="H505" s="1510"/>
      <c r="I505" t="s">
        <v>411</v>
      </c>
      <c r="AC505" s="1762">
        <v>3</v>
      </c>
      <c r="AD505" s="1608"/>
      <c r="AE505" s="1608"/>
      <c r="AF505" s="1608"/>
      <c r="AG505" s="13" t="s">
        <v>403</v>
      </c>
      <c r="AH505" s="1640">
        <v>2024</v>
      </c>
      <c r="AI505" s="1640"/>
      <c r="AJ505" s="1640"/>
      <c r="AK505" s="164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0"/>
      <c r="C506" s="1509"/>
      <c r="D506" s="1509"/>
      <c r="E506" s="1509"/>
      <c r="F506" s="1509"/>
      <c r="G506" s="1509"/>
      <c r="H506" s="1510"/>
      <c r="I506" t="s">
        <v>412</v>
      </c>
      <c r="AC506" s="1762">
        <v>6</v>
      </c>
      <c r="AD506" s="1608"/>
      <c r="AE506" s="1608"/>
      <c r="AF506" s="1608"/>
      <c r="AG506" s="13" t="s">
        <v>403</v>
      </c>
      <c r="AH506" s="1640">
        <v>2025</v>
      </c>
      <c r="AI506" s="1640"/>
      <c r="AJ506" s="1640"/>
      <c r="AK506" s="164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0"/>
      <c r="C507" s="1509"/>
      <c r="D507" s="1509"/>
      <c r="E507" s="1509"/>
      <c r="F507" s="1509"/>
      <c r="G507" s="1509"/>
      <c r="H507" s="1510"/>
      <c r="I507" s="3" t="s">
        <v>413</v>
      </c>
      <c r="AC507" s="1362">
        <v>6</v>
      </c>
      <c r="AD507" s="1363"/>
      <c r="AE507" s="1363"/>
      <c r="AF507" s="1363"/>
      <c r="AG507" s="13" t="s">
        <v>403</v>
      </c>
      <c r="AH507" s="1640">
        <v>2025</v>
      </c>
      <c r="AI507" s="1640"/>
      <c r="AJ507" s="1640"/>
      <c r="AK507" s="164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0"/>
      <c r="C508" s="1509"/>
      <c r="D508" s="1509"/>
      <c r="E508" s="1509"/>
      <c r="F508" s="1509"/>
      <c r="G508" s="1509"/>
      <c r="H508" s="1510"/>
      <c r="I508" s="931" t="s">
        <v>169</v>
      </c>
      <c r="J508" s="48"/>
      <c r="K508" s="48"/>
      <c r="L508" s="1805" t="s">
        <v>334</v>
      </c>
      <c r="M508" s="1806"/>
      <c r="N508" s="1806"/>
      <c r="O508" s="1806"/>
      <c r="P508" s="1806"/>
      <c r="Q508" s="1806"/>
      <c r="R508" s="1806"/>
      <c r="S508" s="1806"/>
      <c r="T508" s="1806"/>
      <c r="U508" s="1806"/>
      <c r="V508" s="1806"/>
      <c r="W508" s="1806"/>
      <c r="X508" s="1806"/>
      <c r="Y508" s="1806"/>
      <c r="Z508" s="1806"/>
      <c r="AA508" s="1806"/>
      <c r="AB508" s="1827"/>
      <c r="AC508" s="1762" t="s">
        <v>598</v>
      </c>
      <c r="AD508" s="1608"/>
      <c r="AE508" s="1608"/>
      <c r="AF508" s="1608"/>
      <c r="AG508" s="38" t="s">
        <v>403</v>
      </c>
      <c r="AH508" s="1640"/>
      <c r="AI508" s="1640"/>
      <c r="AJ508" s="1640"/>
      <c r="AK508" s="164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833" t="s">
        <v>675</v>
      </c>
      <c r="AD509" s="1833"/>
      <c r="AE509" s="1833"/>
      <c r="AF509" s="1833"/>
      <c r="AG509" s="13"/>
      <c r="AH509" s="1301"/>
      <c r="AI509" s="1301"/>
      <c r="AJ509" s="1301"/>
      <c r="AK509" s="181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62"/>
      <c r="AD510" s="1363"/>
      <c r="AE510" s="1363"/>
      <c r="AF510" s="1364"/>
      <c r="AG510" s="13"/>
      <c r="AH510" s="1301"/>
      <c r="AI510" s="1301"/>
      <c r="AJ510" s="1301"/>
      <c r="AK510" s="181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828">
        <v>0.3</v>
      </c>
      <c r="AD512" s="1829"/>
      <c r="AE512" s="1829"/>
      <c r="AF512" s="1830"/>
      <c r="AG512" s="38"/>
      <c r="AH512" s="1831"/>
      <c r="AI512" s="1831"/>
      <c r="AJ512" s="1831"/>
      <c r="AK512" s="1832"/>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8" t="s">
        <v>402</v>
      </c>
      <c r="AD513" s="1651"/>
      <c r="AE513" s="1651"/>
      <c r="AF513" s="1651"/>
      <c r="AG513" s="38" t="s">
        <v>403</v>
      </c>
      <c r="AH513" s="1651" t="s">
        <v>404</v>
      </c>
      <c r="AI513" s="1651"/>
      <c r="AJ513" s="1651"/>
      <c r="AK513" s="1846"/>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9" t="s">
        <v>414</v>
      </c>
      <c r="C514" s="1507"/>
      <c r="D514" s="1507"/>
      <c r="E514" s="1507"/>
      <c r="F514" s="1507"/>
      <c r="G514" s="1507"/>
      <c r="H514" s="1508"/>
      <c r="I514" s="42" t="s">
        <v>415</v>
      </c>
      <c r="J514" s="42"/>
      <c r="K514" s="42"/>
      <c r="L514" s="42"/>
      <c r="M514" s="42"/>
      <c r="N514" s="42"/>
      <c r="O514" s="42"/>
      <c r="P514" s="42"/>
      <c r="Q514" s="42"/>
      <c r="R514" s="42"/>
      <c r="S514" s="42"/>
      <c r="T514" s="42"/>
      <c r="U514" s="42"/>
      <c r="V514" s="42"/>
      <c r="W514" s="42"/>
      <c r="AC514" s="1762">
        <v>7</v>
      </c>
      <c r="AD514" s="1608"/>
      <c r="AE514" s="1608"/>
      <c r="AF514" s="1608"/>
      <c r="AG514" s="13" t="s">
        <v>403</v>
      </c>
      <c r="AH514" s="1640">
        <v>2024</v>
      </c>
      <c r="AI514" s="1640"/>
      <c r="AJ514" s="1640"/>
      <c r="AK514" s="1641"/>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0"/>
      <c r="C515" s="1509"/>
      <c r="D515" s="1509"/>
      <c r="E515" s="1509"/>
      <c r="F515" s="1509"/>
      <c r="G515" s="1509"/>
      <c r="H515" s="1510"/>
      <c r="I515" t="s">
        <v>416</v>
      </c>
      <c r="AC515" s="1762">
        <v>8</v>
      </c>
      <c r="AD515" s="1608"/>
      <c r="AE515" s="1608"/>
      <c r="AF515" s="1608"/>
      <c r="AG515" s="13" t="s">
        <v>403</v>
      </c>
      <c r="AH515" s="1640">
        <v>2024</v>
      </c>
      <c r="AI515" s="1640"/>
      <c r="AJ515" s="1640"/>
      <c r="AK515" s="1641"/>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0"/>
      <c r="C516" s="1509"/>
      <c r="D516" s="1509"/>
      <c r="E516" s="1509"/>
      <c r="F516" s="1509"/>
      <c r="G516" s="1509"/>
      <c r="H516" s="1510"/>
      <c r="I516" s="48" t="s">
        <v>417</v>
      </c>
      <c r="J516" s="48"/>
      <c r="K516" s="48"/>
      <c r="L516" s="48"/>
      <c r="M516" s="48"/>
      <c r="N516" s="48"/>
      <c r="O516" s="48"/>
      <c r="P516" s="48"/>
      <c r="Q516" s="48"/>
      <c r="R516" s="48"/>
      <c r="S516" s="48"/>
      <c r="T516" s="48"/>
      <c r="U516" s="48"/>
      <c r="V516" s="48"/>
      <c r="W516" s="48"/>
      <c r="X516" s="48"/>
      <c r="Y516" s="48"/>
      <c r="Z516" s="48"/>
      <c r="AA516" s="48"/>
      <c r="AB516" s="48"/>
      <c r="AC516" s="1762">
        <v>6</v>
      </c>
      <c r="AD516" s="1608"/>
      <c r="AE516" s="1608"/>
      <c r="AF516" s="1608"/>
      <c r="AG516" s="38" t="s">
        <v>403</v>
      </c>
      <c r="AH516" s="1640">
        <v>2025</v>
      </c>
      <c r="AI516" s="1640"/>
      <c r="AJ516" s="1640"/>
      <c r="AK516" s="1641"/>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9" t="s">
        <v>418</v>
      </c>
      <c r="C517" s="1507"/>
      <c r="D517" s="1507"/>
      <c r="E517" s="1507"/>
      <c r="F517" s="1507"/>
      <c r="G517" s="1507"/>
      <c r="H517" s="1508"/>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640">
        <v>2024</v>
      </c>
      <c r="AI517" s="1640"/>
      <c r="AJ517" s="1640"/>
      <c r="AK517" s="1641"/>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0"/>
      <c r="C518" s="1509"/>
      <c r="D518" s="1509"/>
      <c r="E518" s="1509"/>
      <c r="F518" s="1509"/>
      <c r="G518" s="1509"/>
      <c r="H518" s="1510"/>
      <c r="I518" t="s">
        <v>416</v>
      </c>
      <c r="AC518" s="1762">
        <v>8</v>
      </c>
      <c r="AD518" s="1608"/>
      <c r="AE518" s="1608"/>
      <c r="AF518" s="1608"/>
      <c r="AG518" s="13" t="s">
        <v>403</v>
      </c>
      <c r="AH518" s="1640">
        <v>2024</v>
      </c>
      <c r="AI518" s="1640"/>
      <c r="AJ518" s="1640"/>
      <c r="AK518" s="1641"/>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1"/>
      <c r="C519" s="1511"/>
      <c r="D519" s="1511"/>
      <c r="E519" s="1511"/>
      <c r="F519" s="1511"/>
      <c r="G519" s="1511"/>
      <c r="H519" s="1512"/>
      <c r="I519" s="48" t="s">
        <v>417</v>
      </c>
      <c r="J519" s="48"/>
      <c r="K519" s="48"/>
      <c r="L519" s="48"/>
      <c r="M519" s="48"/>
      <c r="N519" s="48"/>
      <c r="O519" s="48"/>
      <c r="P519" s="48"/>
      <c r="Q519" s="48"/>
      <c r="R519" s="48"/>
      <c r="S519" s="48"/>
      <c r="T519" s="48"/>
      <c r="U519" s="48"/>
      <c r="V519" s="48"/>
      <c r="W519" s="48"/>
      <c r="X519" s="48"/>
      <c r="Y519" s="48"/>
      <c r="Z519" s="48"/>
      <c r="AA519" s="48"/>
      <c r="AB519" s="48"/>
      <c r="AC519" s="1762">
        <v>6</v>
      </c>
      <c r="AD519" s="1608"/>
      <c r="AE519" s="1608"/>
      <c r="AF519" s="1608"/>
      <c r="AG519" s="38" t="s">
        <v>403</v>
      </c>
      <c r="AH519" s="1640">
        <v>2028</v>
      </c>
      <c r="AI519" s="1640"/>
      <c r="AJ519" s="1640"/>
      <c r="AK519" s="1641"/>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9" t="s">
        <v>419</v>
      </c>
      <c r="C520" s="1507"/>
      <c r="D520" s="1507"/>
      <c r="E520" s="1507"/>
      <c r="F520" s="1507"/>
      <c r="G520" s="1507"/>
      <c r="H520" s="1508"/>
      <c r="I520" s="41" t="s">
        <v>420</v>
      </c>
      <c r="J520" s="42"/>
      <c r="K520" s="42"/>
      <c r="L520" s="42"/>
      <c r="M520" s="42"/>
      <c r="N520" s="42"/>
      <c r="O520" s="1805" t="s">
        <v>334</v>
      </c>
      <c r="P520" s="1806"/>
      <c r="Q520" s="1806"/>
      <c r="R520" s="1806"/>
      <c r="S520" s="1806"/>
      <c r="T520" s="1806"/>
      <c r="U520" s="1806"/>
      <c r="V520" s="1806"/>
      <c r="W520" s="1806"/>
      <c r="X520" s="1806"/>
      <c r="Y520" s="1806"/>
      <c r="Z520" s="1806"/>
      <c r="AA520" s="1806"/>
      <c r="AB520" s="58"/>
      <c r="AC520" s="1362" t="s">
        <v>598</v>
      </c>
      <c r="AD520" s="1363"/>
      <c r="AE520" s="1363"/>
      <c r="AF520" s="1363"/>
      <c r="AG520" s="129" t="s">
        <v>403</v>
      </c>
      <c r="AH520" s="1640"/>
      <c r="AI520" s="1640"/>
      <c r="AJ520" s="1640"/>
      <c r="AK520" s="1641"/>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0"/>
      <c r="C521" s="1509"/>
      <c r="D521" s="1509"/>
      <c r="E521" s="1509"/>
      <c r="F521" s="1509"/>
      <c r="G521" s="1509"/>
      <c r="H521" s="1510"/>
      <c r="I521" s="114" t="s">
        <v>421</v>
      </c>
      <c r="AB521" s="65"/>
      <c r="AC521" s="1762" t="s">
        <v>598</v>
      </c>
      <c r="AD521" s="1608"/>
      <c r="AE521" s="1608"/>
      <c r="AF521" s="1608"/>
      <c r="AG521" s="13" t="s">
        <v>403</v>
      </c>
      <c r="AH521" s="1640"/>
      <c r="AI521" s="1640"/>
      <c r="AJ521" s="1640"/>
      <c r="AK521" s="1641"/>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0"/>
      <c r="C522" s="1509"/>
      <c r="D522" s="1509"/>
      <c r="E522" s="1509"/>
      <c r="F522" s="1509"/>
      <c r="G522" s="1509"/>
      <c r="H522" s="1510"/>
      <c r="I522" s="47" t="s">
        <v>422</v>
      </c>
      <c r="J522" s="48"/>
      <c r="K522" s="48"/>
      <c r="L522" s="48"/>
      <c r="M522" s="48"/>
      <c r="N522" s="48"/>
      <c r="O522" s="48"/>
      <c r="P522" s="48"/>
      <c r="Q522" s="48"/>
      <c r="R522" s="48"/>
      <c r="S522" s="48"/>
      <c r="T522" s="48"/>
      <c r="U522" s="48"/>
      <c r="V522" s="48"/>
      <c r="W522" s="48"/>
      <c r="X522" s="48"/>
      <c r="Y522" s="48"/>
      <c r="Z522" s="48"/>
      <c r="AA522" s="48"/>
      <c r="AB522" s="49"/>
      <c r="AC522" s="1762" t="s">
        <v>598</v>
      </c>
      <c r="AD522" s="1608"/>
      <c r="AE522" s="1608"/>
      <c r="AF522" s="1608"/>
      <c r="AG522" s="38" t="s">
        <v>403</v>
      </c>
      <c r="AH522" s="1640"/>
      <c r="AI522" s="1640"/>
      <c r="AJ522" s="1640"/>
      <c r="AK522" s="1641"/>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0"/>
      <c r="C523" s="1509"/>
      <c r="D523" s="1509"/>
      <c r="E523" s="1509"/>
      <c r="F523" s="1509"/>
      <c r="G523" s="1509"/>
      <c r="H523" s="1510"/>
      <c r="I523" s="42" t="s">
        <v>423</v>
      </c>
      <c r="J523" s="42"/>
      <c r="K523" s="42"/>
      <c r="L523" s="42"/>
      <c r="M523" s="42"/>
      <c r="N523" s="42"/>
      <c r="O523" s="1805" t="s">
        <v>334</v>
      </c>
      <c r="P523" s="1806"/>
      <c r="Q523" s="1806"/>
      <c r="R523" s="1806"/>
      <c r="S523" s="1806"/>
      <c r="T523" s="1806"/>
      <c r="U523" s="1806"/>
      <c r="V523" s="1806"/>
      <c r="W523" s="1806"/>
      <c r="X523" s="1806"/>
      <c r="Y523" s="1806"/>
      <c r="Z523" s="1806"/>
      <c r="AA523" s="1806"/>
      <c r="AC523" s="1762" t="s">
        <v>598</v>
      </c>
      <c r="AD523" s="1608"/>
      <c r="AE523" s="1608"/>
      <c r="AF523" s="1608"/>
      <c r="AG523" s="13" t="s">
        <v>403</v>
      </c>
      <c r="AH523" s="1640"/>
      <c r="AI523" s="1640"/>
      <c r="AJ523" s="1640"/>
      <c r="AK523" s="1641"/>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0"/>
      <c r="C524" s="1509"/>
      <c r="D524" s="1509"/>
      <c r="E524" s="1509"/>
      <c r="F524" s="1509"/>
      <c r="G524" s="1509"/>
      <c r="H524" s="1510"/>
      <c r="I524" t="s">
        <v>421</v>
      </c>
      <c r="AC524" s="1762" t="s">
        <v>598</v>
      </c>
      <c r="AD524" s="1608"/>
      <c r="AE524" s="1608"/>
      <c r="AF524" s="1608"/>
      <c r="AG524" s="13" t="s">
        <v>403</v>
      </c>
      <c r="AH524" s="1640"/>
      <c r="AI524" s="1640"/>
      <c r="AJ524" s="1640"/>
      <c r="AK524" s="1641"/>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0"/>
      <c r="C525" s="1509"/>
      <c r="D525" s="1509"/>
      <c r="E525" s="1509"/>
      <c r="F525" s="1509"/>
      <c r="G525" s="1509"/>
      <c r="H525" s="1510"/>
      <c r="I525" s="48" t="s">
        <v>422</v>
      </c>
      <c r="J525" s="48"/>
      <c r="K525" s="48"/>
      <c r="L525" s="48"/>
      <c r="M525" s="48"/>
      <c r="N525" s="48"/>
      <c r="O525" s="48"/>
      <c r="P525" s="48"/>
      <c r="Q525" s="48"/>
      <c r="R525" s="48"/>
      <c r="S525" s="48"/>
      <c r="T525" s="48"/>
      <c r="U525" s="48"/>
      <c r="V525" s="48"/>
      <c r="W525" s="48"/>
      <c r="X525" s="48"/>
      <c r="Y525" s="48"/>
      <c r="Z525" s="48"/>
      <c r="AA525" s="48"/>
      <c r="AB525" s="48"/>
      <c r="AC525" s="1762" t="s">
        <v>598</v>
      </c>
      <c r="AD525" s="1608"/>
      <c r="AE525" s="1608"/>
      <c r="AF525" s="1608"/>
      <c r="AG525" s="38" t="s">
        <v>403</v>
      </c>
      <c r="AH525" s="1640"/>
      <c r="AI525" s="1640"/>
      <c r="AJ525" s="1640"/>
      <c r="AK525" s="1641"/>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0"/>
      <c r="C526" s="1509"/>
      <c r="D526" s="1509"/>
      <c r="E526" s="1509"/>
      <c r="F526" s="1509"/>
      <c r="G526" s="1509"/>
      <c r="H526" s="1510"/>
      <c r="I526" s="42" t="s">
        <v>423</v>
      </c>
      <c r="J526" s="42"/>
      <c r="K526" s="42"/>
      <c r="L526" s="42"/>
      <c r="M526" s="42"/>
      <c r="N526" s="42"/>
      <c r="O526" s="1805" t="s">
        <v>334</v>
      </c>
      <c r="P526" s="1806"/>
      <c r="Q526" s="1806"/>
      <c r="R526" s="1806"/>
      <c r="S526" s="1806"/>
      <c r="T526" s="1806"/>
      <c r="U526" s="1806"/>
      <c r="V526" s="1806"/>
      <c r="W526" s="1806"/>
      <c r="X526" s="1806"/>
      <c r="Y526" s="1806"/>
      <c r="Z526" s="1806"/>
      <c r="AA526" s="1806"/>
      <c r="AC526" s="1762" t="s">
        <v>598</v>
      </c>
      <c r="AD526" s="1608"/>
      <c r="AE526" s="1608"/>
      <c r="AF526" s="1608"/>
      <c r="AG526" s="13" t="s">
        <v>403</v>
      </c>
      <c r="AH526" s="1640"/>
      <c r="AI526" s="1640"/>
      <c r="AJ526" s="1640"/>
      <c r="AK526" s="1641"/>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0"/>
      <c r="C527" s="1509"/>
      <c r="D527" s="1509"/>
      <c r="E527" s="1509"/>
      <c r="F527" s="1509"/>
      <c r="G527" s="1509"/>
      <c r="H527" s="1510"/>
      <c r="I527" t="s">
        <v>421</v>
      </c>
      <c r="AC527" s="1762" t="s">
        <v>598</v>
      </c>
      <c r="AD527" s="1608"/>
      <c r="AE527" s="1608"/>
      <c r="AF527" s="1608"/>
      <c r="AG527" s="13" t="s">
        <v>403</v>
      </c>
      <c r="AH527" s="1640"/>
      <c r="AI527" s="1640"/>
      <c r="AJ527" s="1640"/>
      <c r="AK527" s="1641"/>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0"/>
      <c r="C528" s="1509"/>
      <c r="D528" s="1509"/>
      <c r="E528" s="1509"/>
      <c r="F528" s="1509"/>
      <c r="G528" s="1509"/>
      <c r="H528" s="1510"/>
      <c r="I528" s="48" t="s">
        <v>422</v>
      </c>
      <c r="J528" s="48"/>
      <c r="K528" s="48"/>
      <c r="L528" s="48"/>
      <c r="M528" s="48"/>
      <c r="N528" s="48"/>
      <c r="O528" s="48"/>
      <c r="P528" s="48"/>
      <c r="Q528" s="48"/>
      <c r="R528" s="48"/>
      <c r="S528" s="48"/>
      <c r="T528" s="48"/>
      <c r="U528" s="48"/>
      <c r="V528" s="48"/>
      <c r="W528" s="48"/>
      <c r="X528" s="48"/>
      <c r="Y528" s="48"/>
      <c r="Z528" s="48"/>
      <c r="AA528" s="48"/>
      <c r="AB528" s="48"/>
      <c r="AC528" s="1762" t="s">
        <v>598</v>
      </c>
      <c r="AD528" s="1608"/>
      <c r="AE528" s="1608"/>
      <c r="AF528" s="1608"/>
      <c r="AG528" s="38" t="s">
        <v>403</v>
      </c>
      <c r="AH528" s="1640"/>
      <c r="AI528" s="1640"/>
      <c r="AJ528" s="1640"/>
      <c r="AK528" s="1641"/>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0"/>
      <c r="C529" s="1509"/>
      <c r="D529" s="1509"/>
      <c r="E529" s="1509"/>
      <c r="F529" s="1509"/>
      <c r="G529" s="1509"/>
      <c r="H529" s="1510"/>
      <c r="I529" s="42" t="s">
        <v>423</v>
      </c>
      <c r="J529" s="42"/>
      <c r="K529" s="42"/>
      <c r="L529" s="42"/>
      <c r="M529" s="42"/>
      <c r="N529" s="42"/>
      <c r="O529" s="1805" t="s">
        <v>334</v>
      </c>
      <c r="P529" s="1806"/>
      <c r="Q529" s="1806"/>
      <c r="R529" s="1806"/>
      <c r="S529" s="1806"/>
      <c r="T529" s="1806"/>
      <c r="U529" s="1806"/>
      <c r="V529" s="1806"/>
      <c r="W529" s="1806"/>
      <c r="X529" s="1806"/>
      <c r="Y529" s="1806"/>
      <c r="Z529" s="1806"/>
      <c r="AA529" s="1806"/>
      <c r="AC529" s="1762" t="s">
        <v>598</v>
      </c>
      <c r="AD529" s="1608"/>
      <c r="AE529" s="1608"/>
      <c r="AF529" s="1608"/>
      <c r="AG529" s="13" t="s">
        <v>403</v>
      </c>
      <c r="AH529" s="1640"/>
      <c r="AI529" s="1640"/>
      <c r="AJ529" s="1640"/>
      <c r="AK529" s="1641"/>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0"/>
      <c r="C530" s="1509"/>
      <c r="D530" s="1509"/>
      <c r="E530" s="1509"/>
      <c r="F530" s="1509"/>
      <c r="G530" s="1509"/>
      <c r="H530" s="1510"/>
      <c r="I530" t="s">
        <v>421</v>
      </c>
      <c r="AC530" s="1762" t="s">
        <v>598</v>
      </c>
      <c r="AD530" s="1608"/>
      <c r="AE530" s="1608"/>
      <c r="AF530" s="1608"/>
      <c r="AG530" s="13" t="s">
        <v>403</v>
      </c>
      <c r="AH530" s="1640"/>
      <c r="AI530" s="1640"/>
      <c r="AJ530" s="1640"/>
      <c r="AK530" s="1641"/>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0"/>
      <c r="C531" s="1509"/>
      <c r="D531" s="1509"/>
      <c r="E531" s="1509"/>
      <c r="F531" s="1509"/>
      <c r="G531" s="1509"/>
      <c r="H531" s="1510"/>
      <c r="I531" s="48" t="s">
        <v>422</v>
      </c>
      <c r="J531" s="48"/>
      <c r="K531" s="48"/>
      <c r="L531" s="48"/>
      <c r="M531" s="48"/>
      <c r="N531" s="48"/>
      <c r="O531" s="48"/>
      <c r="P531" s="48"/>
      <c r="Q531" s="48"/>
      <c r="R531" s="48"/>
      <c r="S531" s="48"/>
      <c r="T531" s="48"/>
      <c r="U531" s="48"/>
      <c r="V531" s="48"/>
      <c r="W531" s="48"/>
      <c r="X531" s="48"/>
      <c r="Y531" s="48"/>
      <c r="Z531" s="48"/>
      <c r="AA531" s="48"/>
      <c r="AB531" s="48"/>
      <c r="AC531" s="1762" t="s">
        <v>598</v>
      </c>
      <c r="AD531" s="1608"/>
      <c r="AE531" s="1608"/>
      <c r="AF531" s="1608"/>
      <c r="AG531" s="38" t="s">
        <v>403</v>
      </c>
      <c r="AH531" s="1640"/>
      <c r="AI531" s="1640"/>
      <c r="AJ531" s="1640"/>
      <c r="AK531" s="1641"/>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0"/>
      <c r="C532" s="1509"/>
      <c r="D532" s="1509"/>
      <c r="E532" s="1509"/>
      <c r="F532" s="1509"/>
      <c r="G532" s="1509"/>
      <c r="H532" s="1510"/>
      <c r="I532" s="42" t="s">
        <v>423</v>
      </c>
      <c r="J532" s="42"/>
      <c r="K532" s="42"/>
      <c r="L532" s="42"/>
      <c r="M532" s="42"/>
      <c r="N532" s="42"/>
      <c r="O532" s="1805" t="s">
        <v>334</v>
      </c>
      <c r="P532" s="1806"/>
      <c r="Q532" s="1806"/>
      <c r="R532" s="1806"/>
      <c r="S532" s="1806"/>
      <c r="T532" s="1806"/>
      <c r="U532" s="1806"/>
      <c r="V532" s="1806"/>
      <c r="W532" s="1806"/>
      <c r="X532" s="1806"/>
      <c r="Y532" s="1806"/>
      <c r="Z532" s="1806"/>
      <c r="AA532" s="1806"/>
      <c r="AC532" s="1762" t="s">
        <v>598</v>
      </c>
      <c r="AD532" s="1608"/>
      <c r="AE532" s="1608"/>
      <c r="AF532" s="1608"/>
      <c r="AG532" s="13" t="s">
        <v>403</v>
      </c>
      <c r="AH532" s="1640"/>
      <c r="AI532" s="1640"/>
      <c r="AJ532" s="1640"/>
      <c r="AK532" s="1641"/>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0"/>
      <c r="C533" s="1509"/>
      <c r="D533" s="1509"/>
      <c r="E533" s="1509"/>
      <c r="F533" s="1509"/>
      <c r="G533" s="1509"/>
      <c r="H533" s="1510"/>
      <c r="I533" t="s">
        <v>421</v>
      </c>
      <c r="AC533" s="1762" t="s">
        <v>598</v>
      </c>
      <c r="AD533" s="1608"/>
      <c r="AE533" s="1608"/>
      <c r="AF533" s="1608"/>
      <c r="AG533" s="38" t="s">
        <v>403</v>
      </c>
      <c r="AH533" s="1640"/>
      <c r="AI533" s="1640"/>
      <c r="AJ533" s="1640"/>
      <c r="AK533" s="1641"/>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0"/>
      <c r="C534" s="1509"/>
      <c r="D534" s="1509"/>
      <c r="E534" s="1509"/>
      <c r="F534" s="1509"/>
      <c r="G534" s="1509"/>
      <c r="H534" s="1510"/>
      <c r="I534" s="48" t="s">
        <v>422</v>
      </c>
      <c r="J534" s="48"/>
      <c r="K534" s="48"/>
      <c r="L534" s="48"/>
      <c r="M534" s="48"/>
      <c r="N534" s="48"/>
      <c r="O534" s="48"/>
      <c r="P534" s="48"/>
      <c r="Q534" s="48"/>
      <c r="R534" s="48"/>
      <c r="S534" s="48"/>
      <c r="T534" s="48"/>
      <c r="U534" s="48"/>
      <c r="V534" s="48"/>
      <c r="W534" s="48"/>
      <c r="X534" s="48"/>
      <c r="Y534" s="48"/>
      <c r="Z534" s="48"/>
      <c r="AA534" s="48"/>
      <c r="AB534" s="48"/>
      <c r="AC534" s="1762" t="s">
        <v>598</v>
      </c>
      <c r="AD534" s="1608"/>
      <c r="AE534" s="1608"/>
      <c r="AF534" s="1608"/>
      <c r="AG534" s="13" t="s">
        <v>403</v>
      </c>
      <c r="AH534" s="1640"/>
      <c r="AI534" s="1640"/>
      <c r="AJ534" s="1640"/>
      <c r="AK534" s="1641"/>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0"/>
      <c r="C535" s="1509"/>
      <c r="D535" s="1509"/>
      <c r="E535" s="1509"/>
      <c r="F535" s="1509"/>
      <c r="G535" s="1509"/>
      <c r="H535" s="1510"/>
      <c r="I535" s="42" t="s">
        <v>423</v>
      </c>
      <c r="J535" s="42"/>
      <c r="K535" s="42"/>
      <c r="L535" s="42"/>
      <c r="M535" s="42"/>
      <c r="N535" s="42"/>
      <c r="O535" s="1805" t="s">
        <v>334</v>
      </c>
      <c r="P535" s="1806"/>
      <c r="Q535" s="1806"/>
      <c r="R535" s="1806"/>
      <c r="S535" s="1806"/>
      <c r="T535" s="1806"/>
      <c r="U535" s="1806"/>
      <c r="V535" s="1806"/>
      <c r="W535" s="1806"/>
      <c r="X535" s="1806"/>
      <c r="Y535" s="1806"/>
      <c r="Z535" s="1806"/>
      <c r="AA535" s="1806"/>
      <c r="AC535" s="1762" t="s">
        <v>598</v>
      </c>
      <c r="AD535" s="1608"/>
      <c r="AE535" s="1608"/>
      <c r="AF535" s="1608"/>
      <c r="AG535" s="38" t="s">
        <v>403</v>
      </c>
      <c r="AH535" s="1640"/>
      <c r="AI535" s="1640"/>
      <c r="AJ535" s="1640"/>
      <c r="AK535" s="1641"/>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0"/>
      <c r="C536" s="1509"/>
      <c r="D536" s="1509"/>
      <c r="E536" s="1509"/>
      <c r="F536" s="1509"/>
      <c r="G536" s="1509"/>
      <c r="H536" s="1510"/>
      <c r="I536" t="s">
        <v>421</v>
      </c>
      <c r="AC536" s="1762" t="s">
        <v>598</v>
      </c>
      <c r="AD536" s="1608"/>
      <c r="AE536" s="1608"/>
      <c r="AF536" s="1608"/>
      <c r="AG536" s="13" t="s">
        <v>403</v>
      </c>
      <c r="AH536" s="1640"/>
      <c r="AI536" s="1640"/>
      <c r="AJ536" s="1640"/>
      <c r="AK536" s="1641"/>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0"/>
      <c r="C537" s="1509"/>
      <c r="D537" s="1509"/>
      <c r="E537" s="1509"/>
      <c r="F537" s="1509"/>
      <c r="G537" s="1509"/>
      <c r="H537" s="1510"/>
      <c r="I537" s="48" t="s">
        <v>422</v>
      </c>
      <c r="J537" s="48"/>
      <c r="K537" s="48"/>
      <c r="L537" s="48"/>
      <c r="M537" s="48"/>
      <c r="N537" s="48"/>
      <c r="O537" s="48"/>
      <c r="P537" s="48"/>
      <c r="Q537" s="48"/>
      <c r="R537" s="48"/>
      <c r="S537" s="48"/>
      <c r="T537" s="48"/>
      <c r="U537" s="48"/>
      <c r="V537" s="48"/>
      <c r="W537" s="48"/>
      <c r="X537" s="48"/>
      <c r="Y537" s="48"/>
      <c r="Z537" s="48"/>
      <c r="AA537" s="48"/>
      <c r="AB537" s="48"/>
      <c r="AC537" s="1762" t="s">
        <v>598</v>
      </c>
      <c r="AD537" s="1608"/>
      <c r="AE537" s="1608"/>
      <c r="AF537" s="1608"/>
      <c r="AG537" s="38" t="s">
        <v>403</v>
      </c>
      <c r="AH537" s="1640"/>
      <c r="AI537" s="1640"/>
      <c r="AJ537" s="1640"/>
      <c r="AK537" s="1641"/>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0"/>
      <c r="C538" s="1509"/>
      <c r="D538" s="1509"/>
      <c r="E538" s="1509"/>
      <c r="F538" s="1509"/>
      <c r="G538" s="1509"/>
      <c r="H538" s="1510"/>
      <c r="I538" s="42" t="s">
        <v>569</v>
      </c>
      <c r="J538" s="42"/>
      <c r="K538" s="42"/>
      <c r="L538" s="42"/>
      <c r="M538" s="42"/>
      <c r="N538" s="42"/>
      <c r="O538" s="42"/>
      <c r="P538" s="42"/>
      <c r="Q538" s="42"/>
      <c r="R538" s="42"/>
      <c r="S538" s="42"/>
      <c r="T538" s="42"/>
      <c r="U538" s="42"/>
      <c r="V538" s="42"/>
      <c r="W538" s="42"/>
      <c r="AC538" s="1762">
        <v>11</v>
      </c>
      <c r="AD538" s="1608"/>
      <c r="AE538" s="1608"/>
      <c r="AF538" s="1608"/>
      <c r="AG538" s="38" t="s">
        <v>403</v>
      </c>
      <c r="AH538" s="1640">
        <v>2025</v>
      </c>
      <c r="AI538" s="1640"/>
      <c r="AJ538" s="1640"/>
      <c r="AK538" s="164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0"/>
      <c r="C539" s="1509"/>
      <c r="D539" s="1509"/>
      <c r="E539" s="1509"/>
      <c r="F539" s="1509"/>
      <c r="G539" s="1509"/>
      <c r="H539" s="1510"/>
      <c r="I539" t="s">
        <v>570</v>
      </c>
      <c r="AC539" s="1762">
        <v>6</v>
      </c>
      <c r="AD539" s="1608"/>
      <c r="AE539" s="1608"/>
      <c r="AF539" s="1608"/>
      <c r="AG539" s="13" t="s">
        <v>403</v>
      </c>
      <c r="AH539" s="1640">
        <v>2025</v>
      </c>
      <c r="AI539" s="1640"/>
      <c r="AJ539" s="1640"/>
      <c r="AK539" s="164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0"/>
      <c r="C540" s="1509"/>
      <c r="D540" s="1509"/>
      <c r="E540" s="1509"/>
      <c r="F540" s="1509"/>
      <c r="G540" s="1509"/>
      <c r="H540" s="1510"/>
      <c r="I540" t="s">
        <v>571</v>
      </c>
      <c r="AC540" s="1762">
        <v>6</v>
      </c>
      <c r="AD540" s="1608"/>
      <c r="AE540" s="1608"/>
      <c r="AF540" s="1608"/>
      <c r="AG540" s="38" t="s">
        <v>403</v>
      </c>
      <c r="AH540" s="1640">
        <v>2027</v>
      </c>
      <c r="AI540" s="1640"/>
      <c r="AJ540" s="1640"/>
      <c r="AK540" s="164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0"/>
      <c r="C541" s="1509"/>
      <c r="D541" s="1509"/>
      <c r="E541" s="1509"/>
      <c r="F541" s="1509"/>
      <c r="G541" s="1509"/>
      <c r="H541" s="1510"/>
      <c r="I541" t="s">
        <v>572</v>
      </c>
      <c r="AC541" s="1762">
        <v>6</v>
      </c>
      <c r="AD541" s="1608"/>
      <c r="AE541" s="1608"/>
      <c r="AF541" s="1608"/>
      <c r="AG541" s="38" t="s">
        <v>403</v>
      </c>
      <c r="AH541" s="1640">
        <v>2027</v>
      </c>
      <c r="AI541" s="1640"/>
      <c r="AJ541" s="1640"/>
      <c r="AK541" s="164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1"/>
      <c r="C542" s="1511"/>
      <c r="D542" s="1511"/>
      <c r="E542" s="1511"/>
      <c r="F542" s="1511"/>
      <c r="G542" s="1511"/>
      <c r="H542" s="1512"/>
      <c r="I542" s="48" t="s">
        <v>458</v>
      </c>
      <c r="J542" s="48"/>
      <c r="K542" s="48"/>
      <c r="L542" s="48"/>
      <c r="M542" s="48"/>
      <c r="N542" s="48"/>
      <c r="O542" s="48"/>
      <c r="P542" s="48"/>
      <c r="Q542" s="48"/>
      <c r="R542" s="48"/>
      <c r="S542" s="48"/>
      <c r="T542" s="48"/>
      <c r="U542" s="48"/>
      <c r="V542" s="48"/>
      <c r="W542" s="48"/>
      <c r="X542" s="48"/>
      <c r="Y542" s="48"/>
      <c r="Z542" s="48"/>
      <c r="AA542" s="48"/>
      <c r="AB542" s="48"/>
      <c r="AC542" s="1762">
        <v>12</v>
      </c>
      <c r="AD542" s="1608"/>
      <c r="AE542" s="1608"/>
      <c r="AF542" s="1608"/>
      <c r="AG542" s="38" t="s">
        <v>403</v>
      </c>
      <c r="AH542" s="1640">
        <v>2027</v>
      </c>
      <c r="AI542" s="1640"/>
      <c r="AJ542" s="1640"/>
      <c r="AK542" s="164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9" t="s">
        <v>2417</v>
      </c>
      <c r="C551" s="1507"/>
      <c r="D551" s="1507"/>
      <c r="E551" s="1507"/>
      <c r="F551" s="1507"/>
      <c r="G551" s="1507"/>
      <c r="H551" s="1507"/>
      <c r="I551" s="1507"/>
      <c r="J551" s="1507"/>
      <c r="K551" s="1507"/>
      <c r="L551" s="1508"/>
      <c r="M551" s="1699" t="s">
        <v>2418</v>
      </c>
      <c r="N551" s="1507"/>
      <c r="O551" s="1507"/>
      <c r="P551" s="1508"/>
      <c r="Q551" s="1699" t="s">
        <v>2444</v>
      </c>
      <c r="R551" s="1507"/>
      <c r="S551" s="1508"/>
      <c r="T551" s="1699" t="s">
        <v>2445</v>
      </c>
      <c r="U551" s="1507"/>
      <c r="V551" s="1508"/>
      <c r="W551" s="1699" t="s">
        <v>460</v>
      </c>
      <c r="X551" s="1507"/>
      <c r="Y551" s="1508"/>
      <c r="Z551" s="1699" t="s">
        <v>2038</v>
      </c>
      <c r="AA551" s="1507"/>
      <c r="AB551" s="1507"/>
      <c r="AC551" s="1507"/>
      <c r="AD551" s="1508"/>
      <c r="AE551" s="1699" t="s">
        <v>1860</v>
      </c>
      <c r="AF551" s="1507"/>
      <c r="AG551" s="1507"/>
      <c r="AH551" s="1508"/>
      <c r="AI551" s="1699" t="s">
        <v>1861</v>
      </c>
      <c r="AJ551" s="1507"/>
      <c r="AK551" s="1507"/>
      <c r="AL551" s="1508"/>
      <c r="AM551" s="1699" t="s">
        <v>461</v>
      </c>
      <c r="AN551" s="1507"/>
      <c r="AO551" s="1507"/>
      <c r="AP551" s="1507"/>
      <c r="AQ551" s="1507"/>
      <c r="AR551" s="1507"/>
      <c r="AS551" s="1508"/>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0"/>
      <c r="C552" s="1509"/>
      <c r="D552" s="1509"/>
      <c r="E552" s="1509"/>
      <c r="F552" s="1509"/>
      <c r="G552" s="1509"/>
      <c r="H552" s="1509"/>
      <c r="I552" s="1509"/>
      <c r="J552" s="1509"/>
      <c r="K552" s="1509"/>
      <c r="L552" s="1510"/>
      <c r="M552" s="1700"/>
      <c r="N552" s="1509"/>
      <c r="O552" s="1509"/>
      <c r="P552" s="1510"/>
      <c r="Q552" s="1700"/>
      <c r="R552" s="1509"/>
      <c r="S552" s="1510"/>
      <c r="T552" s="1700"/>
      <c r="U552" s="1509"/>
      <c r="V552" s="1510"/>
      <c r="W552" s="1700"/>
      <c r="X552" s="1509"/>
      <c r="Y552" s="1510"/>
      <c r="Z552" s="1700"/>
      <c r="AA552" s="1509"/>
      <c r="AB552" s="1509"/>
      <c r="AC552" s="1509"/>
      <c r="AD552" s="1510"/>
      <c r="AE552" s="1700"/>
      <c r="AF552" s="1509"/>
      <c r="AG552" s="1509"/>
      <c r="AH552" s="1510"/>
      <c r="AI552" s="1700"/>
      <c r="AJ552" s="1509"/>
      <c r="AK552" s="1509"/>
      <c r="AL552" s="1510"/>
      <c r="AM552" s="1700"/>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1"/>
      <c r="C553" s="1511"/>
      <c r="D553" s="1511"/>
      <c r="E553" s="1511"/>
      <c r="F553" s="1511"/>
      <c r="G553" s="1511"/>
      <c r="H553" s="1511"/>
      <c r="I553" s="1511"/>
      <c r="J553" s="1511"/>
      <c r="K553" s="1511"/>
      <c r="L553" s="1512"/>
      <c r="M553" s="1701"/>
      <c r="N553" s="1511"/>
      <c r="O553" s="1511"/>
      <c r="P553" s="1512"/>
      <c r="Q553" s="1701"/>
      <c r="R553" s="1511"/>
      <c r="S553" s="1512"/>
      <c r="T553" s="1701"/>
      <c r="U553" s="1511"/>
      <c r="V553" s="1512"/>
      <c r="W553" s="1701"/>
      <c r="X553" s="1511"/>
      <c r="Y553" s="1512"/>
      <c r="Z553" s="1701"/>
      <c r="AA553" s="1511"/>
      <c r="AB553" s="1511"/>
      <c r="AC553" s="1511"/>
      <c r="AD553" s="1512"/>
      <c r="AE553" s="1701"/>
      <c r="AF553" s="1511"/>
      <c r="AG553" s="1511"/>
      <c r="AH553" s="1512"/>
      <c r="AI553" s="1701"/>
      <c r="AJ553" s="1511"/>
      <c r="AK553" s="1511"/>
      <c r="AL553" s="1512"/>
      <c r="AM553" s="1701"/>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0" t="s">
        <v>2715</v>
      </c>
      <c r="D554" s="1690"/>
      <c r="E554" s="1690"/>
      <c r="F554" s="1690"/>
      <c r="G554" s="1690"/>
      <c r="H554" s="1690"/>
      <c r="I554" s="1690"/>
      <c r="J554" s="1690"/>
      <c r="K554" s="1690"/>
      <c r="L554" s="1690"/>
      <c r="M554" s="1690" t="s">
        <v>2434</v>
      </c>
      <c r="N554" s="1690"/>
      <c r="O554" s="1690"/>
      <c r="P554" s="1690"/>
      <c r="Q554" s="1467">
        <v>36</v>
      </c>
      <c r="R554" s="1467"/>
      <c r="S554" s="1468"/>
      <c r="T554" s="1466">
        <v>36</v>
      </c>
      <c r="U554" s="1467"/>
      <c r="V554" s="1468"/>
      <c r="W554" s="1469">
        <v>0.06</v>
      </c>
      <c r="X554" s="1470"/>
      <c r="Y554" s="1471"/>
      <c r="Z554" s="1603" t="s">
        <v>2716</v>
      </c>
      <c r="AA554" s="1603"/>
      <c r="AB554" s="1603"/>
      <c r="AC554" s="1603"/>
      <c r="AD554" s="1603"/>
      <c r="AE554" s="1763">
        <v>1</v>
      </c>
      <c r="AF554" s="1764"/>
      <c r="AG554" s="1764"/>
      <c r="AH554" s="1765"/>
      <c r="AI554" s="1691"/>
      <c r="AJ554" s="1692"/>
      <c r="AK554" s="1692"/>
      <c r="AL554" s="1693"/>
      <c r="AM554" s="1670">
        <v>105000000</v>
      </c>
      <c r="AN554" s="1671"/>
      <c r="AO554" s="1671"/>
      <c r="AP554" s="1671"/>
      <c r="AQ554" s="1671"/>
      <c r="AR554" s="1671"/>
      <c r="AS554" s="167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7" t="s">
        <v>2715</v>
      </c>
      <c r="D555" s="1697"/>
      <c r="E555" s="1697"/>
      <c r="F555" s="1697"/>
      <c r="G555" s="1697"/>
      <c r="H555" s="1697"/>
      <c r="I555" s="1697"/>
      <c r="J555" s="1697"/>
      <c r="K555" s="1697"/>
      <c r="L555" s="1697"/>
      <c r="M555" s="1690" t="s">
        <v>2433</v>
      </c>
      <c r="N555" s="1690"/>
      <c r="O555" s="1690"/>
      <c r="P555" s="1690"/>
      <c r="Q555" s="1466">
        <v>36</v>
      </c>
      <c r="R555" s="1467"/>
      <c r="S555" s="1468"/>
      <c r="T555" s="1466">
        <v>36</v>
      </c>
      <c r="U555" s="1467"/>
      <c r="V555" s="1468"/>
      <c r="W555" s="1469">
        <v>0.06</v>
      </c>
      <c r="X555" s="1470"/>
      <c r="Y555" s="1471"/>
      <c r="Z555" s="1603" t="s">
        <v>2716</v>
      </c>
      <c r="AA555" s="1603"/>
      <c r="AB555" s="1603"/>
      <c r="AC555" s="1603"/>
      <c r="AD555" s="1603"/>
      <c r="AE555" s="1763">
        <v>2</v>
      </c>
      <c r="AF555" s="1764"/>
      <c r="AG555" s="1764"/>
      <c r="AH555" s="1765"/>
      <c r="AI555" s="1691"/>
      <c r="AJ555" s="1692"/>
      <c r="AK555" s="1692"/>
      <c r="AL555" s="1693"/>
      <c r="AM555" s="1670">
        <v>14519429</v>
      </c>
      <c r="AN555" s="1671"/>
      <c r="AO555" s="1671"/>
      <c r="AP555" s="1671"/>
      <c r="AQ555" s="1671"/>
      <c r="AR555" s="1671"/>
      <c r="AS555" s="167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7" t="s">
        <v>2717</v>
      </c>
      <c r="D556" s="1697"/>
      <c r="E556" s="1697"/>
      <c r="F556" s="1697"/>
      <c r="G556" s="1697"/>
      <c r="H556" s="1697"/>
      <c r="I556" s="1697"/>
      <c r="J556" s="1697"/>
      <c r="K556" s="1697"/>
      <c r="L556" s="1697"/>
      <c r="M556" s="1690" t="s">
        <v>2435</v>
      </c>
      <c r="N556" s="1690"/>
      <c r="O556" s="1690"/>
      <c r="P556" s="1690"/>
      <c r="Q556" s="1466">
        <v>36</v>
      </c>
      <c r="R556" s="1467"/>
      <c r="S556" s="1468"/>
      <c r="T556" s="1466"/>
      <c r="U556" s="1467"/>
      <c r="V556" s="1468"/>
      <c r="W556" s="1469">
        <v>7.0000000000000007E-2</v>
      </c>
      <c r="X556" s="1470"/>
      <c r="Y556" s="1471"/>
      <c r="Z556" s="1603" t="s">
        <v>2716</v>
      </c>
      <c r="AA556" s="1603"/>
      <c r="AB556" s="1603"/>
      <c r="AC556" s="1603"/>
      <c r="AD556" s="1603"/>
      <c r="AE556" s="1763">
        <v>3</v>
      </c>
      <c r="AF556" s="1764"/>
      <c r="AG556" s="1764"/>
      <c r="AH556" s="1765"/>
      <c r="AI556" s="1691"/>
      <c r="AJ556" s="1692"/>
      <c r="AK556" s="1692"/>
      <c r="AL556" s="1693"/>
      <c r="AM556" s="1670">
        <v>44000000</v>
      </c>
      <c r="AN556" s="1671"/>
      <c r="AO556" s="1671"/>
      <c r="AP556" s="1671"/>
      <c r="AQ556" s="1671"/>
      <c r="AR556" s="1671"/>
      <c r="AS556" s="167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97" t="s">
        <v>2660</v>
      </c>
      <c r="D557" s="1697"/>
      <c r="E557" s="1697"/>
      <c r="F557" s="1697"/>
      <c r="G557" s="1697"/>
      <c r="H557" s="1697"/>
      <c r="I557" s="1697"/>
      <c r="J557" s="1697"/>
      <c r="K557" s="1697"/>
      <c r="L557" s="1697"/>
      <c r="M557" s="1690" t="s">
        <v>2421</v>
      </c>
      <c r="N557" s="1690"/>
      <c r="O557" s="1690"/>
      <c r="P557" s="1690"/>
      <c r="Q557" s="1466">
        <v>36</v>
      </c>
      <c r="R557" s="1467"/>
      <c r="S557" s="1468"/>
      <c r="T557" s="1466"/>
      <c r="U557" s="1467"/>
      <c r="V557" s="1468"/>
      <c r="W557" s="1469">
        <v>1E-8</v>
      </c>
      <c r="X557" s="1470"/>
      <c r="Y557" s="1471"/>
      <c r="Z557" s="1603" t="s">
        <v>2716</v>
      </c>
      <c r="AA557" s="1603"/>
      <c r="AB557" s="1603"/>
      <c r="AC557" s="1603"/>
      <c r="AD557" s="1603"/>
      <c r="AE557" s="1763"/>
      <c r="AF557" s="1764"/>
      <c r="AG557" s="1764"/>
      <c r="AH557" s="1765"/>
      <c r="AI557" s="1691"/>
      <c r="AJ557" s="1692"/>
      <c r="AK557" s="1692"/>
      <c r="AL557" s="1693"/>
      <c r="AM557" s="1670">
        <v>24400000</v>
      </c>
      <c r="AN557" s="1671"/>
      <c r="AO557" s="1671"/>
      <c r="AP557" s="1671"/>
      <c r="AQ557" s="1671"/>
      <c r="AR557" s="1671"/>
      <c r="AS557" s="167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697" t="s">
        <v>2777</v>
      </c>
      <c r="D558" s="1697"/>
      <c r="E558" s="1697"/>
      <c r="F558" s="1697"/>
      <c r="G558" s="1697"/>
      <c r="H558" s="1697"/>
      <c r="I558" s="1697"/>
      <c r="J558" s="1697"/>
      <c r="K558" s="1697"/>
      <c r="L558" s="1697"/>
      <c r="M558" s="1690" t="s">
        <v>2420</v>
      </c>
      <c r="N558" s="1690"/>
      <c r="O558" s="1690"/>
      <c r="P558" s="1690"/>
      <c r="Q558" s="1466"/>
      <c r="R558" s="1467"/>
      <c r="S558" s="1468"/>
      <c r="T558" s="1466"/>
      <c r="U558" s="1467"/>
      <c r="V558" s="1468"/>
      <c r="W558" s="1469"/>
      <c r="X558" s="1470"/>
      <c r="Y558" s="1471"/>
      <c r="Z558" s="1603" t="s">
        <v>598</v>
      </c>
      <c r="AA558" s="1603"/>
      <c r="AB558" s="1603"/>
      <c r="AC558" s="1603"/>
      <c r="AD558" s="1603"/>
      <c r="AE558" s="1763"/>
      <c r="AF558" s="1764"/>
      <c r="AG558" s="1764"/>
      <c r="AH558" s="1765"/>
      <c r="AI558" s="1691"/>
      <c r="AJ558" s="1692"/>
      <c r="AK558" s="1692"/>
      <c r="AL558" s="1693"/>
      <c r="AM558" s="1670">
        <v>2513706</v>
      </c>
      <c r="AN558" s="1671"/>
      <c r="AO558" s="1671"/>
      <c r="AP558" s="1671"/>
      <c r="AQ558" s="1671"/>
      <c r="AR558" s="1671"/>
      <c r="AS558" s="1672"/>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97" t="s">
        <v>2687</v>
      </c>
      <c r="D559" s="1697"/>
      <c r="E559" s="1697"/>
      <c r="F559" s="1697"/>
      <c r="G559" s="1697"/>
      <c r="H559" s="1697"/>
      <c r="I559" s="1697"/>
      <c r="J559" s="1697"/>
      <c r="K559" s="1697"/>
      <c r="L559" s="1697"/>
      <c r="M559" s="1690" t="s">
        <v>2425</v>
      </c>
      <c r="N559" s="1690"/>
      <c r="O559" s="1690"/>
      <c r="P559" s="1690"/>
      <c r="Q559" s="1466"/>
      <c r="R559" s="1467"/>
      <c r="S559" s="1468"/>
      <c r="T559" s="1466"/>
      <c r="U559" s="1467"/>
      <c r="V559" s="1468"/>
      <c r="W559" s="1469"/>
      <c r="X559" s="1470"/>
      <c r="Y559" s="1471"/>
      <c r="Z559" s="1603" t="s">
        <v>598</v>
      </c>
      <c r="AA559" s="1603"/>
      <c r="AB559" s="1603"/>
      <c r="AC559" s="1603"/>
      <c r="AD559" s="1603"/>
      <c r="AE559" s="1763"/>
      <c r="AF559" s="1764"/>
      <c r="AG559" s="1764"/>
      <c r="AH559" s="1765"/>
      <c r="AI559" s="1691"/>
      <c r="AJ559" s="1692"/>
      <c r="AK559" s="1692"/>
      <c r="AL559" s="1693"/>
      <c r="AM559" s="1670">
        <v>6337015</v>
      </c>
      <c r="AN559" s="1671"/>
      <c r="AO559" s="1671"/>
      <c r="AP559" s="1671"/>
      <c r="AQ559" s="1671"/>
      <c r="AR559" s="1671"/>
      <c r="AS559" s="1672"/>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97"/>
      <c r="D560" s="1697"/>
      <c r="E560" s="1697"/>
      <c r="F560" s="1697"/>
      <c r="G560" s="1697"/>
      <c r="H560" s="1697"/>
      <c r="I560" s="1697"/>
      <c r="J560" s="1697"/>
      <c r="K560" s="1697"/>
      <c r="L560" s="1697"/>
      <c r="M560" s="1690"/>
      <c r="N560" s="1690"/>
      <c r="O560" s="1690"/>
      <c r="P560" s="1690"/>
      <c r="Q560" s="1466"/>
      <c r="R560" s="1467"/>
      <c r="S560" s="1468"/>
      <c r="T560" s="1466"/>
      <c r="U560" s="1467"/>
      <c r="V560" s="1468"/>
      <c r="W560" s="1469"/>
      <c r="X560" s="1470"/>
      <c r="Y560" s="1471"/>
      <c r="Z560" s="1603"/>
      <c r="AA560" s="1603"/>
      <c r="AB560" s="1603"/>
      <c r="AC560" s="1603"/>
      <c r="AD560" s="1603"/>
      <c r="AE560" s="1763"/>
      <c r="AF560" s="1764"/>
      <c r="AG560" s="1764"/>
      <c r="AH560" s="1765"/>
      <c r="AI560" s="1691"/>
      <c r="AJ560" s="1692"/>
      <c r="AK560" s="1692"/>
      <c r="AL560" s="1693"/>
      <c r="AM560" s="1670"/>
      <c r="AN560" s="1671"/>
      <c r="AO560" s="1671"/>
      <c r="AP560" s="1671"/>
      <c r="AQ560" s="1671"/>
      <c r="AR560" s="1671"/>
      <c r="AS560" s="167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97"/>
      <c r="D561" s="1697"/>
      <c r="E561" s="1697"/>
      <c r="F561" s="1697"/>
      <c r="G561" s="1697"/>
      <c r="H561" s="1697"/>
      <c r="I561" s="1697"/>
      <c r="J561" s="1697"/>
      <c r="K561" s="1697"/>
      <c r="L561" s="1697"/>
      <c r="M561" s="1690"/>
      <c r="N561" s="1690"/>
      <c r="O561" s="1690"/>
      <c r="P561" s="1690"/>
      <c r="Q561" s="1466"/>
      <c r="R561" s="1467"/>
      <c r="S561" s="1468"/>
      <c r="T561" s="1466"/>
      <c r="U561" s="1467"/>
      <c r="V561" s="1468"/>
      <c r="W561" s="1469"/>
      <c r="X561" s="1470"/>
      <c r="Y561" s="1471"/>
      <c r="Z561" s="1603"/>
      <c r="AA561" s="1603"/>
      <c r="AB561" s="1603"/>
      <c r="AC561" s="1603"/>
      <c r="AD561" s="1603"/>
      <c r="AE561" s="1763"/>
      <c r="AF561" s="1764"/>
      <c r="AG561" s="1764"/>
      <c r="AH561" s="1765"/>
      <c r="AI561" s="1691"/>
      <c r="AJ561" s="1692"/>
      <c r="AK561" s="1692"/>
      <c r="AL561" s="1693"/>
      <c r="AM561" s="1670"/>
      <c r="AN561" s="1671"/>
      <c r="AO561" s="1671"/>
      <c r="AP561" s="1671"/>
      <c r="AQ561" s="1671"/>
      <c r="AR561" s="1671"/>
      <c r="AS561" s="167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97"/>
      <c r="D562" s="1697"/>
      <c r="E562" s="1697"/>
      <c r="F562" s="1697"/>
      <c r="G562" s="1697"/>
      <c r="H562" s="1697"/>
      <c r="I562" s="1697"/>
      <c r="J562" s="1697"/>
      <c r="K562" s="1697"/>
      <c r="L562" s="1697"/>
      <c r="M562" s="1690"/>
      <c r="N562" s="1690"/>
      <c r="O562" s="1690"/>
      <c r="P562" s="1690"/>
      <c r="Q562" s="1466"/>
      <c r="R562" s="1467"/>
      <c r="S562" s="1468"/>
      <c r="T562" s="1466"/>
      <c r="U562" s="1467"/>
      <c r="V562" s="1468"/>
      <c r="W562" s="1469"/>
      <c r="X562" s="1470"/>
      <c r="Y562" s="1471"/>
      <c r="Z562" s="1603"/>
      <c r="AA562" s="1603"/>
      <c r="AB562" s="1603"/>
      <c r="AC562" s="1603"/>
      <c r="AD562" s="1603"/>
      <c r="AE562" s="1763"/>
      <c r="AF562" s="1764"/>
      <c r="AG562" s="1764"/>
      <c r="AH562" s="1765"/>
      <c r="AI562" s="1691"/>
      <c r="AJ562" s="1692"/>
      <c r="AK562" s="1692"/>
      <c r="AL562" s="1693"/>
      <c r="AM562" s="1670"/>
      <c r="AN562" s="1671"/>
      <c r="AO562" s="1671"/>
      <c r="AP562" s="1671"/>
      <c r="AQ562" s="1671"/>
      <c r="AR562" s="1671"/>
      <c r="AS562" s="167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697"/>
      <c r="D563" s="1697"/>
      <c r="E563" s="1697"/>
      <c r="F563" s="1697"/>
      <c r="G563" s="1697"/>
      <c r="H563" s="1697"/>
      <c r="I563" s="1697"/>
      <c r="J563" s="1697"/>
      <c r="K563" s="1697"/>
      <c r="L563" s="1697"/>
      <c r="M563" s="1690"/>
      <c r="N563" s="1690"/>
      <c r="O563" s="1690"/>
      <c r="P563" s="1690"/>
      <c r="Q563" s="1466"/>
      <c r="R563" s="1467"/>
      <c r="S563" s="1468"/>
      <c r="T563" s="1466"/>
      <c r="U563" s="1467"/>
      <c r="V563" s="1468"/>
      <c r="W563" s="1469"/>
      <c r="X563" s="1470"/>
      <c r="Y563" s="1471"/>
      <c r="Z563" s="1603"/>
      <c r="AA563" s="1603"/>
      <c r="AB563" s="1603"/>
      <c r="AC563" s="1603"/>
      <c r="AD563" s="1603"/>
      <c r="AE563" s="1763"/>
      <c r="AF563" s="1764"/>
      <c r="AG563" s="1764"/>
      <c r="AH563" s="1765"/>
      <c r="AI563" s="1691"/>
      <c r="AJ563" s="1692"/>
      <c r="AK563" s="1692"/>
      <c r="AL563" s="1693"/>
      <c r="AM563" s="1670"/>
      <c r="AN563" s="1671"/>
      <c r="AO563" s="1671"/>
      <c r="AP563" s="1671"/>
      <c r="AQ563" s="1671"/>
      <c r="AR563" s="1671"/>
      <c r="AS563" s="167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97"/>
      <c r="D564" s="1697"/>
      <c r="E564" s="1697"/>
      <c r="F564" s="1697"/>
      <c r="G564" s="1697"/>
      <c r="H564" s="1697"/>
      <c r="I564" s="1697"/>
      <c r="J564" s="1697"/>
      <c r="K564" s="1697"/>
      <c r="L564" s="1697"/>
      <c r="M564" s="1690"/>
      <c r="N564" s="1690"/>
      <c r="O564" s="1690"/>
      <c r="P564" s="1690"/>
      <c r="Q564" s="1466"/>
      <c r="R564" s="1467"/>
      <c r="S564" s="1468"/>
      <c r="T564" s="1466"/>
      <c r="U564" s="1467"/>
      <c r="V564" s="1468"/>
      <c r="W564" s="1469"/>
      <c r="X564" s="1470"/>
      <c r="Y564" s="1471"/>
      <c r="Z564" s="1603"/>
      <c r="AA564" s="1603"/>
      <c r="AB564" s="1603"/>
      <c r="AC564" s="1603"/>
      <c r="AD564" s="1603"/>
      <c r="AE564" s="1763"/>
      <c r="AF564" s="1764"/>
      <c r="AG564" s="1764"/>
      <c r="AH564" s="1765"/>
      <c r="AI564" s="1691"/>
      <c r="AJ564" s="1692"/>
      <c r="AK564" s="1692"/>
      <c r="AL564" s="1693"/>
      <c r="AM564" s="1670"/>
      <c r="AN564" s="1671"/>
      <c r="AO564" s="1671"/>
      <c r="AP564" s="1671"/>
      <c r="AQ564" s="1671"/>
      <c r="AR564" s="1671"/>
      <c r="AS564" s="167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97"/>
      <c r="D565" s="1697"/>
      <c r="E565" s="1697"/>
      <c r="F565" s="1697"/>
      <c r="G565" s="1697"/>
      <c r="H565" s="1697"/>
      <c r="I565" s="1697"/>
      <c r="J565" s="1697"/>
      <c r="K565" s="1697"/>
      <c r="L565" s="1697"/>
      <c r="M565" s="1690"/>
      <c r="N565" s="1690"/>
      <c r="O565" s="1690"/>
      <c r="P565" s="1690"/>
      <c r="Q565" s="1466"/>
      <c r="R565" s="1467"/>
      <c r="S565" s="1468"/>
      <c r="T565" s="1466"/>
      <c r="U565" s="1467"/>
      <c r="V565" s="1468"/>
      <c r="W565" s="1469"/>
      <c r="X565" s="1470"/>
      <c r="Y565" s="1471"/>
      <c r="Z565" s="1603"/>
      <c r="AA565" s="1603"/>
      <c r="AB565" s="1603"/>
      <c r="AC565" s="1603"/>
      <c r="AD565" s="1603"/>
      <c r="AE565" s="1763"/>
      <c r="AF565" s="1764"/>
      <c r="AG565" s="1764"/>
      <c r="AH565" s="1765"/>
      <c r="AI565" s="1691"/>
      <c r="AJ565" s="1692"/>
      <c r="AK565" s="1692"/>
      <c r="AL565" s="1693"/>
      <c r="AM565" s="1670"/>
      <c r="AN565" s="1671"/>
      <c r="AO565" s="1671"/>
      <c r="AP565" s="1671"/>
      <c r="AQ565" s="1671"/>
      <c r="AR565" s="1671"/>
      <c r="AS565" s="167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5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196770150</v>
      </c>
      <c r="AN566" s="1617"/>
      <c r="AO566" s="1617"/>
      <c r="AP566" s="1617"/>
      <c r="AQ566" s="1617"/>
      <c r="AR566" s="1617"/>
      <c r="AS566" s="1618"/>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56" t="str">
        <f>C554</f>
        <v>Citibank, N.A.</v>
      </c>
      <c r="H568" s="1456"/>
      <c r="I568" s="1456"/>
      <c r="J568" s="1456"/>
      <c r="K568" s="1456"/>
      <c r="L568" s="1456"/>
      <c r="M568" s="1456"/>
      <c r="N568" s="1456"/>
      <c r="O568" s="1456"/>
      <c r="P568" s="1456"/>
      <c r="Q568" s="1456"/>
      <c r="R568" s="1456"/>
      <c r="S568" s="8"/>
      <c r="T568" s="55" t="s">
        <v>113</v>
      </c>
      <c r="U568" t="s">
        <v>470</v>
      </c>
      <c r="Z568" s="1456" t="str">
        <f>C555</f>
        <v>Citibank, N.A.</v>
      </c>
      <c r="AA568" s="1456"/>
      <c r="AB568" s="1456"/>
      <c r="AC568" s="1456"/>
      <c r="AD568" s="1456"/>
      <c r="AE568" s="1456"/>
      <c r="AF568" s="1456"/>
      <c r="AG568" s="1456"/>
      <c r="AH568" s="1456"/>
      <c r="AI568" s="1456"/>
      <c r="AJ568" s="1456"/>
      <c r="AK568" s="145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2718</v>
      </c>
      <c r="H569" s="1380"/>
      <c r="I569" s="1380"/>
      <c r="J569" s="1380"/>
      <c r="K569" s="1380"/>
      <c r="L569" s="1380"/>
      <c r="M569" s="1380"/>
      <c r="N569" s="1380"/>
      <c r="O569" s="1380"/>
      <c r="P569" s="1380"/>
      <c r="Q569" s="1380"/>
      <c r="R569" s="1380"/>
      <c r="S569" s="8"/>
      <c r="T569" s="22"/>
      <c r="U569" t="s">
        <v>85</v>
      </c>
      <c r="Z569" s="1380" t="s">
        <v>2718</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0" t="s">
        <v>2719</v>
      </c>
      <c r="H570" s="1380"/>
      <c r="I570" s="1380"/>
      <c r="J570" s="1380"/>
      <c r="K570" s="1380"/>
      <c r="L570" s="1380"/>
      <c r="M570" s="1380"/>
      <c r="N570" s="1380"/>
      <c r="O570" s="1380"/>
      <c r="P570" s="1380"/>
      <c r="Q570" s="1380"/>
      <c r="R570" s="1380"/>
      <c r="T570" s="22"/>
      <c r="U570" t="s">
        <v>587</v>
      </c>
      <c r="Z570" s="1434" t="s">
        <v>2719</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2720</v>
      </c>
      <c r="H571" s="1380"/>
      <c r="I571" s="1380"/>
      <c r="J571" s="1380"/>
      <c r="K571" s="1380"/>
      <c r="L571" s="1380"/>
      <c r="M571" s="1380"/>
      <c r="N571" s="1380"/>
      <c r="O571" s="1380"/>
      <c r="P571" s="1380"/>
      <c r="Q571" s="1380"/>
      <c r="R571" s="1380"/>
      <c r="S571" s="8"/>
      <c r="T571" s="22"/>
      <c r="U571" t="s">
        <v>17</v>
      </c>
      <c r="Z571" s="1434" t="s">
        <v>2720</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t="s">
        <v>2721</v>
      </c>
      <c r="H572" s="1391"/>
      <c r="I572" s="1391"/>
      <c r="J572" s="1391"/>
      <c r="K572" s="1391"/>
      <c r="L572" s="1391"/>
      <c r="O572" s="33" t="s">
        <v>206</v>
      </c>
      <c r="P572" s="1465"/>
      <c r="Q572" s="1465"/>
      <c r="R572" s="1465"/>
      <c r="S572" s="10"/>
      <c r="T572" s="22"/>
      <c r="U572" t="s">
        <v>316</v>
      </c>
      <c r="Z572" s="1390" t="s">
        <v>2721</v>
      </c>
      <c r="AA572" s="1391"/>
      <c r="AB572" s="1391"/>
      <c r="AC572" s="1391"/>
      <c r="AD572" s="1391"/>
      <c r="AE572" s="1391"/>
      <c r="AH572" s="33" t="s">
        <v>206</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2722</v>
      </c>
      <c r="I573" s="1380"/>
      <c r="J573" s="1380"/>
      <c r="K573" s="1380"/>
      <c r="L573" s="1380"/>
      <c r="M573" s="1380"/>
      <c r="N573" s="1380"/>
      <c r="O573" s="1380"/>
      <c r="P573" s="1380"/>
      <c r="Q573" s="1380"/>
      <c r="R573" s="1380"/>
      <c r="S573" s="8"/>
      <c r="T573" s="22"/>
      <c r="U573" t="s">
        <v>18</v>
      </c>
      <c r="AA573" s="1380" t="s">
        <v>2723</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702" t="s">
        <v>598</v>
      </c>
      <c r="N574" s="1702"/>
      <c r="O574" s="1702"/>
      <c r="P574" s="1702"/>
      <c r="Q574" s="1702"/>
      <c r="R574" s="1702"/>
      <c r="S574" s="8"/>
      <c r="T574" s="22"/>
      <c r="U574" s="348" t="s">
        <v>1288</v>
      </c>
      <c r="AA574" s="8"/>
      <c r="AB574" s="8"/>
      <c r="AC574" s="8"/>
      <c r="AD574" s="8"/>
      <c r="AE574" s="8"/>
      <c r="AF574" s="1702" t="s">
        <v>598</v>
      </c>
      <c r="AG574" s="1702"/>
      <c r="AH574" s="1702"/>
      <c r="AI574" s="1702"/>
      <c r="AJ574" s="1702"/>
      <c r="AK574" s="170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552</v>
      </c>
      <c r="O575" s="1379"/>
      <c r="T575" s="22"/>
      <c r="U575" t="s">
        <v>20</v>
      </c>
      <c r="AG575" s="1379" t="s">
        <v>552</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56" t="str">
        <f>C556</f>
        <v>Bonneville</v>
      </c>
      <c r="H577" s="1456"/>
      <c r="I577" s="1456"/>
      <c r="J577" s="1456"/>
      <c r="K577" s="1456"/>
      <c r="L577" s="1456"/>
      <c r="M577" s="1456"/>
      <c r="N577" s="1456"/>
      <c r="O577" s="1456"/>
      <c r="P577" s="1456"/>
      <c r="Q577" s="1456"/>
      <c r="R577" s="1456"/>
      <c r="T577" s="55" t="s">
        <v>588</v>
      </c>
      <c r="U577" t="s">
        <v>470</v>
      </c>
      <c r="Z577" s="1456" t="str">
        <f>C557</f>
        <v>Pacific West Communities, Inc.</v>
      </c>
      <c r="AA577" s="1456"/>
      <c r="AB577" s="1456"/>
      <c r="AC577" s="1456"/>
      <c r="AD577" s="1456"/>
      <c r="AE577" s="1456"/>
      <c r="AF577" s="1456"/>
      <c r="AG577" s="1456"/>
      <c r="AH577" s="1456"/>
      <c r="AI577" s="1456"/>
      <c r="AJ577" s="1456"/>
      <c r="AK577" s="145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2724</v>
      </c>
      <c r="H578" s="1380"/>
      <c r="I578" s="1380"/>
      <c r="J578" s="1380"/>
      <c r="K578" s="1380"/>
      <c r="L578" s="1380"/>
      <c r="M578" s="1380"/>
      <c r="N578" s="1380"/>
      <c r="O578" s="1380"/>
      <c r="P578" s="1380"/>
      <c r="Q578" s="1380"/>
      <c r="R578" s="1380"/>
      <c r="T578" s="22"/>
      <c r="U578" t="s">
        <v>85</v>
      </c>
      <c r="Z578" s="1380" t="s">
        <v>2644</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4" t="s">
        <v>2725</v>
      </c>
      <c r="H579" s="1434"/>
      <c r="I579" s="1434"/>
      <c r="J579" s="1434"/>
      <c r="K579" s="1434"/>
      <c r="L579" s="1434"/>
      <c r="M579" s="1434"/>
      <c r="N579" s="1434"/>
      <c r="O579" s="1434"/>
      <c r="P579" s="1434"/>
      <c r="Q579" s="1434"/>
      <c r="R579" s="1434"/>
      <c r="T579" s="22"/>
      <c r="U579" t="s">
        <v>587</v>
      </c>
      <c r="Z579" s="1434" t="s">
        <v>2667</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4" t="s">
        <v>2726</v>
      </c>
      <c r="H580" s="1434"/>
      <c r="I580" s="1434"/>
      <c r="J580" s="1434"/>
      <c r="K580" s="1434"/>
      <c r="L580" s="1434"/>
      <c r="M580" s="1434"/>
      <c r="N580" s="1434"/>
      <c r="O580" s="1434"/>
      <c r="P580" s="1434"/>
      <c r="Q580" s="1434"/>
      <c r="R580" s="1434"/>
      <c r="T580" s="22"/>
      <c r="U580" t="s">
        <v>17</v>
      </c>
      <c r="Z580" s="1434" t="s">
        <v>2642</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t="s">
        <v>2727</v>
      </c>
      <c r="H581" s="1391"/>
      <c r="I581" s="1391"/>
      <c r="J581" s="1391"/>
      <c r="K581" s="1391"/>
      <c r="L581" s="1391"/>
      <c r="O581" s="33" t="s">
        <v>206</v>
      </c>
      <c r="P581" s="1465"/>
      <c r="Q581" s="1465"/>
      <c r="R581" s="1465"/>
      <c r="T581" s="22"/>
      <c r="U581" t="s">
        <v>316</v>
      </c>
      <c r="Z581" s="1390" t="s">
        <v>2646</v>
      </c>
      <c r="AA581" s="1391"/>
      <c r="AB581" s="1391"/>
      <c r="AC581" s="1391"/>
      <c r="AD581" s="1391"/>
      <c r="AE581" s="1391"/>
      <c r="AH581" s="33" t="s">
        <v>206</v>
      </c>
      <c r="AI581" s="1465">
        <v>3015</v>
      </c>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2728</v>
      </c>
      <c r="I582" s="1380"/>
      <c r="J582" s="1380"/>
      <c r="K582" s="1380"/>
      <c r="L582" s="1380"/>
      <c r="M582" s="1380"/>
      <c r="N582" s="1380"/>
      <c r="O582" s="1380"/>
      <c r="P582" s="1380"/>
      <c r="Q582" s="1380"/>
      <c r="R582" s="1380"/>
      <c r="T582" s="22"/>
      <c r="U582" t="s">
        <v>18</v>
      </c>
      <c r="AA582" s="1380" t="s">
        <v>1846</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552</v>
      </c>
      <c r="O583" s="1379"/>
      <c r="T583" s="22"/>
      <c r="U583" t="s">
        <v>20</v>
      </c>
      <c r="AG583" s="1379" t="s">
        <v>552</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456" t="str">
        <f>C558</f>
        <v>San Leandro Bay Fair Assoc.</v>
      </c>
      <c r="H585" s="1456"/>
      <c r="I585" s="1456"/>
      <c r="J585" s="1456"/>
      <c r="K585" s="1456"/>
      <c r="L585" s="1456"/>
      <c r="M585" s="1456"/>
      <c r="N585" s="1456"/>
      <c r="O585" s="1456"/>
      <c r="P585" s="1456"/>
      <c r="Q585" s="1456"/>
      <c r="R585" s="1456"/>
      <c r="T585" s="55" t="s">
        <v>591</v>
      </c>
      <c r="U585" t="s">
        <v>470</v>
      </c>
      <c r="Z585" s="1456" t="str">
        <f>C559</f>
        <v>Boston Financial</v>
      </c>
      <c r="AA585" s="1456"/>
      <c r="AB585" s="1456"/>
      <c r="AC585" s="1456"/>
      <c r="AD585" s="1456"/>
      <c r="AE585" s="1456"/>
      <c r="AF585" s="1456"/>
      <c r="AG585" s="1456"/>
      <c r="AH585" s="1456"/>
      <c r="AI585" s="1456"/>
      <c r="AJ585" s="1456"/>
      <c r="AK585" s="145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2644</v>
      </c>
      <c r="H586" s="1380"/>
      <c r="I586" s="1380"/>
      <c r="J586" s="1380"/>
      <c r="K586" s="1380"/>
      <c r="L586" s="1380"/>
      <c r="M586" s="1380"/>
      <c r="N586" s="1380"/>
      <c r="O586" s="1380"/>
      <c r="P586" s="1380"/>
      <c r="Q586" s="1380"/>
      <c r="R586" s="1380"/>
      <c r="T586" s="22"/>
      <c r="U586" t="s">
        <v>85</v>
      </c>
      <c r="Z586" s="1380" t="s">
        <v>2688</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80" t="s">
        <v>2667</v>
      </c>
      <c r="H587" s="1380"/>
      <c r="I587" s="1380"/>
      <c r="J587" s="1380"/>
      <c r="K587" s="1380"/>
      <c r="L587" s="1380"/>
      <c r="M587" s="1380"/>
      <c r="N587" s="1380"/>
      <c r="O587" s="1380"/>
      <c r="P587" s="1380"/>
      <c r="Q587" s="1380"/>
      <c r="R587" s="1380"/>
      <c r="T587" s="22"/>
      <c r="U587" t="s">
        <v>587</v>
      </c>
      <c r="Z587" s="1434" t="s">
        <v>2689</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2642</v>
      </c>
      <c r="H588" s="1380"/>
      <c r="I588" s="1380"/>
      <c r="J588" s="1380"/>
      <c r="K588" s="1380"/>
      <c r="L588" s="1380"/>
      <c r="M588" s="1380"/>
      <c r="N588" s="1380"/>
      <c r="O588" s="1380"/>
      <c r="P588" s="1380"/>
      <c r="Q588" s="1380"/>
      <c r="R588" s="1380"/>
      <c r="T588" s="22"/>
      <c r="U588" t="s">
        <v>17</v>
      </c>
      <c r="Z588" s="1434" t="s">
        <v>2690</v>
      </c>
      <c r="AA588" s="1434"/>
      <c r="AB588" s="1434"/>
      <c r="AC588" s="1434"/>
      <c r="AD588" s="1434"/>
      <c r="AE588" s="1434"/>
      <c r="AF588" s="1434"/>
      <c r="AG588" s="1434"/>
      <c r="AH588" s="1434"/>
      <c r="AI588" s="1434"/>
      <c r="AJ588" s="1434"/>
      <c r="AK588" s="1434"/>
    </row>
    <row r="589" spans="1:110" ht="12.95" customHeight="1">
      <c r="A589" s="22"/>
      <c r="B589" t="s">
        <v>316</v>
      </c>
      <c r="G589" s="1390" t="s">
        <v>2646</v>
      </c>
      <c r="H589" s="1391"/>
      <c r="I589" s="1391"/>
      <c r="J589" s="1391"/>
      <c r="K589" s="1391"/>
      <c r="L589" s="1391"/>
      <c r="O589" s="33" t="s">
        <v>206</v>
      </c>
      <c r="P589" s="1465">
        <v>3015</v>
      </c>
      <c r="Q589" s="1465"/>
      <c r="R589" s="1465"/>
      <c r="T589" s="22"/>
      <c r="U589" t="s">
        <v>316</v>
      </c>
      <c r="Z589" s="1390" t="s">
        <v>2691</v>
      </c>
      <c r="AA589" s="1391"/>
      <c r="AB589" s="1391"/>
      <c r="AC589" s="1391"/>
      <c r="AD589" s="1391"/>
      <c r="AE589" s="1391"/>
      <c r="AH589" s="33" t="s">
        <v>206</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2729</v>
      </c>
      <c r="I590" s="1380"/>
      <c r="J590" s="1380"/>
      <c r="K590" s="1380"/>
      <c r="L590" s="1380"/>
      <c r="M590" s="1380"/>
      <c r="N590" s="1380"/>
      <c r="O590" s="1380"/>
      <c r="P590" s="1380"/>
      <c r="Q590" s="1380"/>
      <c r="R590" s="1380"/>
      <c r="T590" s="22"/>
      <c r="U590" t="s">
        <v>18</v>
      </c>
      <c r="AA590" s="1380" t="s">
        <v>2730</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552</v>
      </c>
      <c r="O591" s="1379"/>
      <c r="T591" s="22"/>
      <c r="U591" t="s">
        <v>20</v>
      </c>
      <c r="AG591" s="1379" t="s">
        <v>675</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56">
        <f>C560</f>
        <v>0</v>
      </c>
      <c r="H593" s="1456"/>
      <c r="I593" s="1456"/>
      <c r="J593" s="1456"/>
      <c r="K593" s="1456"/>
      <c r="L593" s="1456"/>
      <c r="M593" s="1456"/>
      <c r="N593" s="1456"/>
      <c r="O593" s="1456"/>
      <c r="P593" s="1456"/>
      <c r="Q593" s="1456"/>
      <c r="R593" s="1456"/>
      <c r="T593" s="55" t="s">
        <v>463</v>
      </c>
      <c r="U593" t="s">
        <v>470</v>
      </c>
      <c r="Z593" s="1456">
        <f>C561</f>
        <v>0</v>
      </c>
      <c r="AA593" s="1456"/>
      <c r="AB593" s="1456"/>
      <c r="AC593" s="1456"/>
      <c r="AD593" s="1456"/>
      <c r="AE593" s="1456"/>
      <c r="AF593" s="1456"/>
      <c r="AG593" s="1456"/>
      <c r="AH593" s="1456"/>
      <c r="AI593" s="1456"/>
      <c r="AJ593" s="1456"/>
      <c r="AK593" s="145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0"/>
      <c r="H595" s="1380"/>
      <c r="I595" s="1380"/>
      <c r="J595" s="1380"/>
      <c r="K595" s="1380"/>
      <c r="L595" s="1380"/>
      <c r="M595" s="1380"/>
      <c r="N595" s="1380"/>
      <c r="O595" s="1380"/>
      <c r="P595" s="1380"/>
      <c r="Q595" s="1380"/>
      <c r="R595" s="1380"/>
      <c r="S595"/>
      <c r="T595" s="22"/>
      <c r="U595" t="s">
        <v>587</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324</v>
      </c>
      <c r="BB596" s="3"/>
      <c r="BC596" s="3"/>
      <c r="BD596" s="3"/>
      <c r="BE596" s="121" t="s">
        <v>481</v>
      </c>
      <c r="BF596" s="122"/>
      <c r="BG596" s="1502"/>
      <c r="BH596" s="1503"/>
      <c r="BI596" s="121" t="s">
        <v>482</v>
      </c>
      <c r="BJ596" s="122"/>
      <c r="BK596" s="1502"/>
      <c r="BL596" s="1503"/>
      <c r="BM596" s="3"/>
      <c r="BN596" s="1417" t="s">
        <v>639</v>
      </c>
      <c r="BO596" s="1418"/>
      <c r="BP596" s="1418"/>
      <c r="BQ596" s="1418"/>
      <c r="BR596" s="1419"/>
      <c r="BS596" s="1517" t="s">
        <v>325</v>
      </c>
      <c r="BT596" s="1517"/>
      <c r="BU596" s="1517"/>
      <c r="BV596" s="1517"/>
      <c r="BW596" s="1517"/>
      <c r="BX596" s="1517" t="s">
        <v>163</v>
      </c>
      <c r="BY596" s="1517"/>
      <c r="BZ596" s="1517"/>
      <c r="CA596" s="1517"/>
      <c r="CB596" s="1517"/>
      <c r="CC596" s="1517" t="s">
        <v>164</v>
      </c>
      <c r="CD596" s="1517"/>
      <c r="CE596" s="1517"/>
      <c r="CF596" s="1517"/>
      <c r="CG596" s="1517"/>
      <c r="CH596" s="1517" t="s">
        <v>467</v>
      </c>
      <c r="CI596" s="1517"/>
      <c r="CJ596" s="1517"/>
      <c r="CK596" s="1517"/>
      <c r="CL596" s="1517"/>
      <c r="CM596" s="1517" t="s">
        <v>30</v>
      </c>
      <c r="CN596" s="1517"/>
      <c r="CO596" s="1517"/>
      <c r="CP596" s="1517"/>
      <c r="CQ596" s="1517"/>
      <c r="CR596" s="89"/>
      <c r="CS596" s="1517" t="s">
        <v>639</v>
      </c>
      <c r="CT596" s="1517"/>
      <c r="CU596" s="1517"/>
      <c r="CV596" s="1517"/>
      <c r="CW596" s="1517"/>
      <c r="CX596" s="1517" t="s">
        <v>325</v>
      </c>
      <c r="CY596" s="1517"/>
      <c r="CZ596" s="1517"/>
      <c r="DA596" s="1517"/>
      <c r="DB596" s="1517"/>
      <c r="DC596" s="1517" t="s">
        <v>163</v>
      </c>
      <c r="DD596" s="1517"/>
      <c r="DE596" s="1517"/>
      <c r="DF596" s="1517"/>
      <c r="DG596" s="1517"/>
      <c r="DH596" s="1517" t="s">
        <v>164</v>
      </c>
      <c r="DI596" s="1517"/>
      <c r="DJ596" s="1517"/>
      <c r="DK596" s="1517"/>
      <c r="DL596" s="1517"/>
      <c r="DM596" s="1517" t="s">
        <v>467</v>
      </c>
      <c r="DN596" s="1517"/>
      <c r="DO596" s="1517"/>
      <c r="DP596" s="1517"/>
      <c r="DQ596" s="1517"/>
      <c r="DR596" s="1517" t="s">
        <v>30</v>
      </c>
      <c r="DS596" s="1517"/>
      <c r="DT596" s="1517"/>
      <c r="DU596" s="1517"/>
      <c r="DV596" s="1517"/>
      <c r="DX596" s="1517" t="s">
        <v>639</v>
      </c>
      <c r="DY596" s="1517"/>
      <c r="DZ596" s="1517"/>
      <c r="EA596" s="1517"/>
      <c r="EB596" s="1517"/>
      <c r="EC596" s="1517" t="s">
        <v>325</v>
      </c>
      <c r="ED596" s="1517"/>
      <c r="EE596" s="1517"/>
      <c r="EF596" s="1517"/>
      <c r="EG596" s="1517"/>
      <c r="EH596" s="1517" t="s">
        <v>163</v>
      </c>
      <c r="EI596" s="1517"/>
      <c r="EJ596" s="1517"/>
      <c r="EK596" s="1517"/>
      <c r="EL596" s="1517"/>
      <c r="EM596" s="1517" t="s">
        <v>164</v>
      </c>
      <c r="EN596" s="1517"/>
      <c r="EO596" s="1517"/>
      <c r="EP596" s="1517"/>
      <c r="EQ596" s="1517"/>
      <c r="ER596" s="1517" t="s">
        <v>467</v>
      </c>
      <c r="ES596" s="1517"/>
      <c r="ET596" s="1517"/>
      <c r="EU596" s="1517"/>
      <c r="EV596" s="1517"/>
      <c r="EW596" s="1517" t="s">
        <v>30</v>
      </c>
      <c r="EX596" s="1517"/>
      <c r="EY596" s="1517"/>
      <c r="EZ596" s="1517"/>
      <c r="FA596" s="1517"/>
    </row>
    <row r="597" spans="1:157" s="4" customFormat="1" ht="12.95" customHeight="1">
      <c r="A597" s="22"/>
      <c r="B597" t="s">
        <v>316</v>
      </c>
      <c r="C597"/>
      <c r="D597"/>
      <c r="E597"/>
      <c r="F597"/>
      <c r="G597" s="1390"/>
      <c r="H597" s="1391"/>
      <c r="I597" s="1391"/>
      <c r="J597" s="1391"/>
      <c r="K597" s="1391"/>
      <c r="L597" s="1391"/>
      <c r="M597"/>
      <c r="N597"/>
      <c r="O597" s="33" t="s">
        <v>206</v>
      </c>
      <c r="P597" s="1465"/>
      <c r="Q597" s="1465"/>
      <c r="R597" s="1465"/>
      <c r="S597"/>
      <c r="T597" s="22"/>
      <c r="U597" t="s">
        <v>316</v>
      </c>
      <c r="V597"/>
      <c r="W597"/>
      <c r="X597"/>
      <c r="Y597"/>
      <c r="Z597" s="1390"/>
      <c r="AA597" s="1391"/>
      <c r="AB597" s="1391"/>
      <c r="AC597" s="1391"/>
      <c r="AD597" s="1391"/>
      <c r="AE597" s="1391"/>
      <c r="AF597"/>
      <c r="AG597"/>
      <c r="AH597" s="33" t="s">
        <v>206</v>
      </c>
      <c r="AI597" s="1465"/>
      <c r="AJ597" s="1465"/>
      <c r="AK597" s="1465"/>
      <c r="AL597"/>
      <c r="AM597"/>
      <c r="AN597"/>
      <c r="AO597"/>
      <c r="AP597"/>
      <c r="AQ597"/>
      <c r="AR597"/>
      <c r="AS597"/>
      <c r="AT597"/>
      <c r="AU597"/>
      <c r="AV597"/>
      <c r="AW597"/>
      <c r="AX597"/>
      <c r="AY597"/>
      <c r="BA597" s="4" t="s">
        <v>325</v>
      </c>
      <c r="BB597" s="3"/>
      <c r="BC597" s="3"/>
      <c r="BD597" s="3"/>
      <c r="BE597" s="1489">
        <f t="shared" ref="BE597:BE631" si="1">IF(AND(AC718&lt;=0.5,AC718&gt;=0.36),1,0)</f>
        <v>0</v>
      </c>
      <c r="BF597" s="1491"/>
      <c r="BG597" s="1502">
        <f t="shared" ref="BG597:BG631" si="2">IF(BE597=1,G718,0)</f>
        <v>0</v>
      </c>
      <c r="BH597" s="1503"/>
      <c r="BI597" s="1489">
        <f t="shared" ref="BI597:BI631" si="3">IF(AND(AC718&lt;=0.35,AC718&gt;0),1,0)</f>
        <v>1</v>
      </c>
      <c r="BJ597" s="1491"/>
      <c r="BK597" s="1502">
        <f t="shared" ref="BK597:BK631" si="4">IF(BI597=1,G718,0)</f>
        <v>50</v>
      </c>
      <c r="BL597" s="1503"/>
      <c r="BM597" s="3"/>
      <c r="BN597" s="1493">
        <f t="shared" ref="BN597:BN631" si="5">IF(B718="SRO/Studio",G718,0)</f>
        <v>0</v>
      </c>
      <c r="BO597" s="1494"/>
      <c r="BP597" s="1494"/>
      <c r="BQ597" s="1494"/>
      <c r="BR597" s="1495"/>
      <c r="BS597" s="1492">
        <f t="shared" ref="BS597:BS631" si="6">IF(B718="1 Bedroom",G718,0)</f>
        <v>50</v>
      </c>
      <c r="BT597" s="1492"/>
      <c r="BU597" s="1492"/>
      <c r="BV597" s="1492"/>
      <c r="BW597" s="1492"/>
      <c r="BX597" s="1492">
        <f t="shared" ref="BX597:BX631" si="7">IF(B718="2 Bedrooms",G718,0)</f>
        <v>0</v>
      </c>
      <c r="BY597" s="1492"/>
      <c r="BZ597" s="1492"/>
      <c r="CA597" s="1492"/>
      <c r="CB597" s="1492"/>
      <c r="CC597" s="1492">
        <f t="shared" ref="CC597:CC631" si="8">IF(B718="3 Bedrooms",G718,0)</f>
        <v>0</v>
      </c>
      <c r="CD597" s="1492"/>
      <c r="CE597" s="1492"/>
      <c r="CF597" s="1492"/>
      <c r="CG597" s="1492"/>
      <c r="CH597" s="1492">
        <f t="shared" ref="CH597:CH631" si="9">IF(B718="4 Bedrooms",G718,0)</f>
        <v>0</v>
      </c>
      <c r="CI597" s="1492"/>
      <c r="CJ597" s="1492"/>
      <c r="CK597" s="1492"/>
      <c r="CL597" s="1492"/>
      <c r="CM597" s="1492">
        <f t="shared" ref="CM597:CM631" si="10">IF(B718="5 Bedrooms",G718,0)</f>
        <v>0</v>
      </c>
      <c r="CN597" s="1492"/>
      <c r="CO597" s="1492"/>
      <c r="CP597" s="1492"/>
      <c r="CQ597" s="1492"/>
      <c r="CR597" s="6"/>
      <c r="CS597" s="1500">
        <f t="shared" ref="CS597:CS631" si="11">IF(AND(B718="SRO/Studio",AC718&lt;=0.3),G718,0)</f>
        <v>0</v>
      </c>
      <c r="CT597" s="1500"/>
      <c r="CU597" s="1500"/>
      <c r="CV597" s="1500"/>
      <c r="CW597" s="1500"/>
      <c r="CX597" s="1500">
        <f t="shared" ref="CX597:CX631" si="12">IF(AND(B718="1 Bedroom",AC718&lt;=0.3),G718,0)</f>
        <v>50</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89" t="str">
        <f t="shared" ref="DX597:DX631" si="17">IF(BN597&gt;0,O718,"")</f>
        <v/>
      </c>
      <c r="DY597" s="1490"/>
      <c r="DZ597" s="1490"/>
      <c r="EA597" s="1490"/>
      <c r="EB597" s="1491"/>
      <c r="EC597" s="1489">
        <f t="shared" ref="EC597:EC631" si="18">IF(BS597&gt;0,O718,"")</f>
        <v>765</v>
      </c>
      <c r="ED597" s="1490"/>
      <c r="EE597" s="1490"/>
      <c r="EF597" s="1490"/>
      <c r="EG597" s="1491"/>
      <c r="EH597" s="1489" t="str">
        <f t="shared" ref="EH597:EH631" si="19">IF(BX597&gt;0,O718,"")</f>
        <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9">
        <f t="shared" si="1"/>
        <v>1</v>
      </c>
      <c r="BF598" s="1491"/>
      <c r="BG598" s="1502">
        <f t="shared" si="2"/>
        <v>50</v>
      </c>
      <c r="BH598" s="1503"/>
      <c r="BI598" s="1489">
        <f t="shared" si="3"/>
        <v>0</v>
      </c>
      <c r="BJ598" s="1491"/>
      <c r="BK598" s="1502">
        <f t="shared" si="4"/>
        <v>0</v>
      </c>
      <c r="BL598" s="1503"/>
      <c r="BM598" s="3"/>
      <c r="BN598" s="1493">
        <f t="shared" si="5"/>
        <v>0</v>
      </c>
      <c r="BO598" s="1494"/>
      <c r="BP598" s="1494"/>
      <c r="BQ598" s="1494"/>
      <c r="BR598" s="1495"/>
      <c r="BS598" s="1492">
        <f t="shared" si="6"/>
        <v>50</v>
      </c>
      <c r="BT598" s="1492"/>
      <c r="BU598" s="1492"/>
      <c r="BV598" s="1492"/>
      <c r="BW598" s="1492"/>
      <c r="BX598" s="1492">
        <f t="shared" si="7"/>
        <v>0</v>
      </c>
      <c r="BY598" s="1492"/>
      <c r="BZ598" s="1492"/>
      <c r="CA598" s="1492"/>
      <c r="CB598" s="1492"/>
      <c r="CC598" s="1492">
        <f t="shared" si="8"/>
        <v>0</v>
      </c>
      <c r="CD598" s="1492"/>
      <c r="CE598" s="1492"/>
      <c r="CF598" s="1492"/>
      <c r="CG598" s="1492"/>
      <c r="CH598" s="1492">
        <f t="shared" si="9"/>
        <v>0</v>
      </c>
      <c r="CI598" s="1492"/>
      <c r="CJ598" s="1492"/>
      <c r="CK598" s="1492"/>
      <c r="CL598" s="1492"/>
      <c r="CM598" s="1492">
        <f t="shared" si="10"/>
        <v>0</v>
      </c>
      <c r="CN598" s="1492"/>
      <c r="CO598" s="1492"/>
      <c r="CP598" s="1492"/>
      <c r="CQ598" s="1492"/>
      <c r="CR598" s="6"/>
      <c r="CS598" s="1500">
        <f t="shared" si="11"/>
        <v>0</v>
      </c>
      <c r="CT598" s="1500"/>
      <c r="CU598" s="1500"/>
      <c r="CV598" s="1500"/>
      <c r="CW598" s="1500"/>
      <c r="CX598" s="1500">
        <f t="shared" si="12"/>
        <v>0</v>
      </c>
      <c r="CY598" s="1500"/>
      <c r="CZ598" s="1500"/>
      <c r="DA598" s="1500"/>
      <c r="DB598" s="1500"/>
      <c r="DC598" s="1500">
        <f t="shared" si="13"/>
        <v>0</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89" t="str">
        <f t="shared" si="17"/>
        <v/>
      </c>
      <c r="DY598" s="1490"/>
      <c r="DZ598" s="1490"/>
      <c r="EA598" s="1490"/>
      <c r="EB598" s="1491"/>
      <c r="EC598" s="1489">
        <f t="shared" si="18"/>
        <v>1349</v>
      </c>
      <c r="ED598" s="1490"/>
      <c r="EE598" s="1490"/>
      <c r="EF598" s="1490"/>
      <c r="EG598" s="1491"/>
      <c r="EH598" s="1489" t="str">
        <f t="shared" si="19"/>
        <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2.95" customHeight="1">
      <c r="A599" s="22"/>
      <c r="B599" t="s">
        <v>20</v>
      </c>
      <c r="N599" s="1379" t="s">
        <v>675</v>
      </c>
      <c r="O599" s="1379"/>
      <c r="T599" s="22"/>
      <c r="U599" t="s">
        <v>20</v>
      </c>
      <c r="AG599" s="1379" t="s">
        <v>675</v>
      </c>
      <c r="AH599" s="1379"/>
      <c r="BA599" s="4" t="s">
        <v>164</v>
      </c>
      <c r="BB599" s="3"/>
      <c r="BC599" s="3"/>
      <c r="BD599" s="3"/>
      <c r="BE599" s="1489">
        <f t="shared" si="1"/>
        <v>0</v>
      </c>
      <c r="BF599" s="1491"/>
      <c r="BG599" s="1502">
        <f t="shared" si="2"/>
        <v>0</v>
      </c>
      <c r="BH599" s="1503"/>
      <c r="BI599" s="1489">
        <f t="shared" si="3"/>
        <v>0</v>
      </c>
      <c r="BJ599" s="1491"/>
      <c r="BK599" s="1502">
        <f t="shared" si="4"/>
        <v>0</v>
      </c>
      <c r="BL599" s="1503"/>
      <c r="BM599" s="3"/>
      <c r="BN599" s="1493">
        <f t="shared" si="5"/>
        <v>0</v>
      </c>
      <c r="BO599" s="1494"/>
      <c r="BP599" s="1494"/>
      <c r="BQ599" s="1494"/>
      <c r="BR599" s="1495"/>
      <c r="BS599" s="1492">
        <f t="shared" si="6"/>
        <v>180</v>
      </c>
      <c r="BT599" s="1492"/>
      <c r="BU599" s="1492"/>
      <c r="BV599" s="1492"/>
      <c r="BW599" s="1492"/>
      <c r="BX599" s="1492">
        <f t="shared" si="7"/>
        <v>0</v>
      </c>
      <c r="BY599" s="1492"/>
      <c r="BZ599" s="1492"/>
      <c r="CA599" s="1492"/>
      <c r="CB599" s="1492"/>
      <c r="CC599" s="1492">
        <f t="shared" si="8"/>
        <v>0</v>
      </c>
      <c r="CD599" s="1492"/>
      <c r="CE599" s="1492"/>
      <c r="CF599" s="1492"/>
      <c r="CG599" s="1492"/>
      <c r="CH599" s="1492">
        <f t="shared" si="9"/>
        <v>0</v>
      </c>
      <c r="CI599" s="1492"/>
      <c r="CJ599" s="1492"/>
      <c r="CK599" s="1492"/>
      <c r="CL599" s="1492"/>
      <c r="CM599" s="1492">
        <f t="shared" si="10"/>
        <v>0</v>
      </c>
      <c r="CN599" s="1492"/>
      <c r="CO599" s="1492"/>
      <c r="CP599" s="1492"/>
      <c r="CQ599" s="1492"/>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0</v>
      </c>
      <c r="DI599" s="1500"/>
      <c r="DJ599" s="1500"/>
      <c r="DK599" s="1500"/>
      <c r="DL599" s="1500"/>
      <c r="DM599" s="1500">
        <f t="shared" si="15"/>
        <v>0</v>
      </c>
      <c r="DN599" s="1500"/>
      <c r="DO599" s="1500"/>
      <c r="DP599" s="1500"/>
      <c r="DQ599" s="1500"/>
      <c r="DR599" s="1500">
        <f t="shared" si="16"/>
        <v>0</v>
      </c>
      <c r="DS599" s="1500"/>
      <c r="DT599" s="1500"/>
      <c r="DU599" s="1500"/>
      <c r="DV599" s="1500"/>
      <c r="DX599" s="1489" t="str">
        <f t="shared" si="17"/>
        <v/>
      </c>
      <c r="DY599" s="1490"/>
      <c r="DZ599" s="1490"/>
      <c r="EA599" s="1490"/>
      <c r="EB599" s="1491"/>
      <c r="EC599" s="1489">
        <f t="shared" si="18"/>
        <v>1641</v>
      </c>
      <c r="ED599" s="1490"/>
      <c r="EE599" s="1490"/>
      <c r="EF599" s="1490"/>
      <c r="EG599" s="1491"/>
      <c r="EH599" s="1489" t="str">
        <f t="shared" si="19"/>
        <v/>
      </c>
      <c r="EI599" s="1490"/>
      <c r="EJ599" s="1490"/>
      <c r="EK599" s="1490"/>
      <c r="EL599" s="1491"/>
      <c r="EM599" s="1489" t="str">
        <f t="shared" si="20"/>
        <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2.95" customHeight="1">
      <c r="A600" s="22"/>
      <c r="T600" s="22"/>
      <c r="BA600" s="4" t="s">
        <v>165</v>
      </c>
      <c r="BB600" s="3"/>
      <c r="BC600" s="3"/>
      <c r="BD600" s="3"/>
      <c r="BE600" s="1489">
        <f t="shared" si="1"/>
        <v>0</v>
      </c>
      <c r="BF600" s="1491"/>
      <c r="BG600" s="1502">
        <f t="shared" si="2"/>
        <v>0</v>
      </c>
      <c r="BH600" s="1503"/>
      <c r="BI600" s="1489">
        <f t="shared" si="3"/>
        <v>0</v>
      </c>
      <c r="BJ600" s="1491"/>
      <c r="BK600" s="1502">
        <f t="shared" si="4"/>
        <v>0</v>
      </c>
      <c r="BL600" s="1503"/>
      <c r="BM600" s="3"/>
      <c r="BN600" s="1493">
        <f t="shared" si="5"/>
        <v>0</v>
      </c>
      <c r="BO600" s="1494"/>
      <c r="BP600" s="1494"/>
      <c r="BQ600" s="1494"/>
      <c r="BR600" s="1495"/>
      <c r="BS600" s="1492">
        <f t="shared" si="6"/>
        <v>196</v>
      </c>
      <c r="BT600" s="1492"/>
      <c r="BU600" s="1492"/>
      <c r="BV600" s="1492"/>
      <c r="BW600" s="1492"/>
      <c r="BX600" s="1492">
        <f t="shared" si="7"/>
        <v>0</v>
      </c>
      <c r="BY600" s="1492"/>
      <c r="BZ600" s="1492"/>
      <c r="CA600" s="1492"/>
      <c r="CB600" s="1492"/>
      <c r="CC600" s="1492">
        <f t="shared" si="8"/>
        <v>0</v>
      </c>
      <c r="CD600" s="1492"/>
      <c r="CE600" s="1492"/>
      <c r="CF600" s="1492"/>
      <c r="CG600" s="1492"/>
      <c r="CH600" s="1492">
        <f t="shared" si="9"/>
        <v>0</v>
      </c>
      <c r="CI600" s="1492"/>
      <c r="CJ600" s="1492"/>
      <c r="CK600" s="1492"/>
      <c r="CL600" s="1492"/>
      <c r="CM600" s="1492">
        <f t="shared" si="10"/>
        <v>0</v>
      </c>
      <c r="CN600" s="1492"/>
      <c r="CO600" s="1492"/>
      <c r="CP600" s="1492"/>
      <c r="CQ600" s="1492"/>
      <c r="CR600" s="6"/>
      <c r="CS600" s="1500">
        <f t="shared" si="11"/>
        <v>0</v>
      </c>
      <c r="CT600" s="1500"/>
      <c r="CU600" s="1500"/>
      <c r="CV600" s="1500"/>
      <c r="CW600" s="1500"/>
      <c r="CX600" s="1500">
        <f t="shared" si="12"/>
        <v>0</v>
      </c>
      <c r="CY600" s="1500"/>
      <c r="CZ600" s="1500"/>
      <c r="DA600" s="1500"/>
      <c r="DB600" s="1500"/>
      <c r="DC600" s="1500">
        <f t="shared" si="13"/>
        <v>0</v>
      </c>
      <c r="DD600" s="1500"/>
      <c r="DE600" s="1500"/>
      <c r="DF600" s="1500"/>
      <c r="DG600" s="1500"/>
      <c r="DH600" s="1500">
        <f t="shared" si="14"/>
        <v>0</v>
      </c>
      <c r="DI600" s="1500"/>
      <c r="DJ600" s="1500"/>
      <c r="DK600" s="1500"/>
      <c r="DL600" s="1500"/>
      <c r="DM600" s="1500">
        <f t="shared" si="15"/>
        <v>0</v>
      </c>
      <c r="DN600" s="1500"/>
      <c r="DO600" s="1500"/>
      <c r="DP600" s="1500"/>
      <c r="DQ600" s="1500"/>
      <c r="DR600" s="1500">
        <f t="shared" si="16"/>
        <v>0</v>
      </c>
      <c r="DS600" s="1500"/>
      <c r="DT600" s="1500"/>
      <c r="DU600" s="1500"/>
      <c r="DV600" s="1500"/>
      <c r="DX600" s="1489" t="str">
        <f t="shared" si="17"/>
        <v/>
      </c>
      <c r="DY600" s="1490"/>
      <c r="DZ600" s="1490"/>
      <c r="EA600" s="1490"/>
      <c r="EB600" s="1491"/>
      <c r="EC600" s="1489">
        <f t="shared" si="18"/>
        <v>1933</v>
      </c>
      <c r="ED600" s="1490"/>
      <c r="EE600" s="1490"/>
      <c r="EF600" s="1490"/>
      <c r="EG600" s="1491"/>
      <c r="EH600" s="1489" t="str">
        <f t="shared" si="19"/>
        <v/>
      </c>
      <c r="EI600" s="1490"/>
      <c r="EJ600" s="1490"/>
      <c r="EK600" s="1490"/>
      <c r="EL600" s="1491"/>
      <c r="EM600" s="1489" t="str">
        <f t="shared" si="20"/>
        <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2.95" customHeight="1">
      <c r="A601" s="55" t="s">
        <v>468</v>
      </c>
      <c r="B601" t="s">
        <v>470</v>
      </c>
      <c r="G601" s="1456">
        <f>C562</f>
        <v>0</v>
      </c>
      <c r="H601" s="1456"/>
      <c r="I601" s="1456"/>
      <c r="J601" s="1456"/>
      <c r="K601" s="1456"/>
      <c r="L601" s="1456"/>
      <c r="M601" s="1456"/>
      <c r="N601" s="1456"/>
      <c r="O601" s="1456"/>
      <c r="P601" s="1456"/>
      <c r="Q601" s="1456"/>
      <c r="R601" s="1456"/>
      <c r="T601" s="55" t="s">
        <v>652</v>
      </c>
      <c r="U601" t="s">
        <v>470</v>
      </c>
      <c r="Z601" s="1456">
        <f>C563</f>
        <v>0</v>
      </c>
      <c r="AA601" s="1456"/>
      <c r="AB601" s="1456"/>
      <c r="AC601" s="1456"/>
      <c r="AD601" s="1456"/>
      <c r="AE601" s="1456"/>
      <c r="AF601" s="1456"/>
      <c r="AG601" s="1456"/>
      <c r="AH601" s="1456"/>
      <c r="AI601" s="1456"/>
      <c r="AJ601" s="1456"/>
      <c r="AK601" s="1456"/>
      <c r="BA601" s="4" t="s">
        <v>30</v>
      </c>
      <c r="BB601" s="3"/>
      <c r="BC601" s="3"/>
      <c r="BD601" s="3"/>
      <c r="BE601" s="1489">
        <f t="shared" si="1"/>
        <v>0</v>
      </c>
      <c r="BF601" s="1491"/>
      <c r="BG601" s="1502">
        <f t="shared" si="2"/>
        <v>0</v>
      </c>
      <c r="BH601" s="1503"/>
      <c r="BI601" s="1489">
        <f t="shared" si="3"/>
        <v>0</v>
      </c>
      <c r="BJ601" s="1491"/>
      <c r="BK601" s="1502">
        <f t="shared" si="4"/>
        <v>0</v>
      </c>
      <c r="BL601" s="1503"/>
      <c r="BM601" s="3"/>
      <c r="BN601" s="1493">
        <f t="shared" si="5"/>
        <v>0</v>
      </c>
      <c r="BO601" s="1494"/>
      <c r="BP601" s="1494"/>
      <c r="BQ601" s="1494"/>
      <c r="BR601" s="1495"/>
      <c r="BS601" s="1492">
        <f t="shared" si="6"/>
        <v>0</v>
      </c>
      <c r="BT601" s="1492"/>
      <c r="BU601" s="1492"/>
      <c r="BV601" s="1492"/>
      <c r="BW601" s="1492"/>
      <c r="BX601" s="1492">
        <f t="shared" si="7"/>
        <v>0</v>
      </c>
      <c r="BY601" s="1492"/>
      <c r="BZ601" s="1492"/>
      <c r="CA601" s="1492"/>
      <c r="CB601" s="1492"/>
      <c r="CC601" s="1492">
        <f t="shared" si="8"/>
        <v>0</v>
      </c>
      <c r="CD601" s="1492"/>
      <c r="CE601" s="1492"/>
      <c r="CF601" s="1492"/>
      <c r="CG601" s="1492"/>
      <c r="CH601" s="1492">
        <f t="shared" si="9"/>
        <v>0</v>
      </c>
      <c r="CI601" s="1492"/>
      <c r="CJ601" s="1492"/>
      <c r="CK601" s="1492"/>
      <c r="CL601" s="1492"/>
      <c r="CM601" s="1492">
        <f t="shared" si="10"/>
        <v>0</v>
      </c>
      <c r="CN601" s="1492"/>
      <c r="CO601" s="1492"/>
      <c r="CP601" s="1492"/>
      <c r="CQ601" s="1492"/>
      <c r="CR601" s="6"/>
      <c r="CS601" s="1500">
        <f t="shared" si="11"/>
        <v>0</v>
      </c>
      <c r="CT601" s="1500"/>
      <c r="CU601" s="1500"/>
      <c r="CV601" s="1500"/>
      <c r="CW601" s="1500"/>
      <c r="CX601" s="1500">
        <f t="shared" si="12"/>
        <v>0</v>
      </c>
      <c r="CY601" s="1500"/>
      <c r="CZ601" s="1500"/>
      <c r="DA601" s="1500"/>
      <c r="DB601" s="1500"/>
      <c r="DC601" s="1500">
        <f t="shared" si="13"/>
        <v>0</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89" t="str">
        <f t="shared" si="17"/>
        <v/>
      </c>
      <c r="DY601" s="1490"/>
      <c r="DZ601" s="1490"/>
      <c r="EA601" s="1490"/>
      <c r="EB601" s="1491"/>
      <c r="EC601" s="1489" t="str">
        <f t="shared" si="18"/>
        <v/>
      </c>
      <c r="ED601" s="1490"/>
      <c r="EE601" s="1490"/>
      <c r="EF601" s="1490"/>
      <c r="EG601" s="1491"/>
      <c r="EH601" s="1489" t="str">
        <f t="shared" si="19"/>
        <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9">
        <f t="shared" si="1"/>
        <v>0</v>
      </c>
      <c r="BF602" s="1491"/>
      <c r="BG602" s="1502">
        <f t="shared" si="2"/>
        <v>0</v>
      </c>
      <c r="BH602" s="1503"/>
      <c r="BI602" s="1489">
        <f t="shared" si="3"/>
        <v>0</v>
      </c>
      <c r="BJ602" s="1491"/>
      <c r="BK602" s="1502">
        <f t="shared" si="4"/>
        <v>0</v>
      </c>
      <c r="BL602" s="1503"/>
      <c r="BM602" s="3"/>
      <c r="BN602" s="1493">
        <f t="shared" si="5"/>
        <v>0</v>
      </c>
      <c r="BO602" s="1494"/>
      <c r="BP602" s="1494"/>
      <c r="BQ602" s="1494"/>
      <c r="BR602" s="1495"/>
      <c r="BS602" s="1492">
        <f t="shared" si="6"/>
        <v>0</v>
      </c>
      <c r="BT602" s="1492"/>
      <c r="BU602" s="1492"/>
      <c r="BV602" s="1492"/>
      <c r="BW602" s="1492"/>
      <c r="BX602" s="1492">
        <f t="shared" si="7"/>
        <v>0</v>
      </c>
      <c r="BY602" s="1492"/>
      <c r="BZ602" s="1492"/>
      <c r="CA602" s="1492"/>
      <c r="CB602" s="1492"/>
      <c r="CC602" s="1492">
        <f t="shared" si="8"/>
        <v>0</v>
      </c>
      <c r="CD602" s="1492"/>
      <c r="CE602" s="1492"/>
      <c r="CF602" s="1492"/>
      <c r="CG602" s="1492"/>
      <c r="CH602" s="1492">
        <f t="shared" si="9"/>
        <v>0</v>
      </c>
      <c r="CI602" s="1492"/>
      <c r="CJ602" s="1492"/>
      <c r="CK602" s="1492"/>
      <c r="CL602" s="1492"/>
      <c r="CM602" s="1492">
        <f t="shared" si="10"/>
        <v>0</v>
      </c>
      <c r="CN602" s="1492"/>
      <c r="CO602" s="1492"/>
      <c r="CP602" s="1492"/>
      <c r="CQ602" s="1492"/>
      <c r="CR602" s="6"/>
      <c r="CS602" s="1500">
        <f t="shared" si="11"/>
        <v>0</v>
      </c>
      <c r="CT602" s="1500"/>
      <c r="CU602" s="1500"/>
      <c r="CV602" s="1500"/>
      <c r="CW602" s="1500"/>
      <c r="CX602" s="1500">
        <f t="shared" si="12"/>
        <v>0</v>
      </c>
      <c r="CY602" s="1500"/>
      <c r="CZ602" s="1500"/>
      <c r="DA602" s="1500"/>
      <c r="DB602" s="1500"/>
      <c r="DC602" s="1500">
        <f t="shared" si="13"/>
        <v>0</v>
      </c>
      <c r="DD602" s="1500"/>
      <c r="DE602" s="1500"/>
      <c r="DF602" s="1500"/>
      <c r="DG602" s="1500"/>
      <c r="DH602" s="1500">
        <f t="shared" si="14"/>
        <v>0</v>
      </c>
      <c r="DI602" s="1500"/>
      <c r="DJ602" s="1500"/>
      <c r="DK602" s="1500"/>
      <c r="DL602" s="1500"/>
      <c r="DM602" s="1500">
        <f t="shared" si="15"/>
        <v>0</v>
      </c>
      <c r="DN602" s="1500"/>
      <c r="DO602" s="1500"/>
      <c r="DP602" s="1500"/>
      <c r="DQ602" s="1500"/>
      <c r="DR602" s="1500">
        <f t="shared" si="16"/>
        <v>0</v>
      </c>
      <c r="DS602" s="1500"/>
      <c r="DT602" s="1500"/>
      <c r="DU602" s="1500"/>
      <c r="DV602" s="1500"/>
      <c r="DX602" s="1489" t="str">
        <f t="shared" si="17"/>
        <v/>
      </c>
      <c r="DY602" s="1490"/>
      <c r="DZ602" s="1490"/>
      <c r="EA602" s="1490"/>
      <c r="EB602" s="1491"/>
      <c r="EC602" s="1489" t="str">
        <f t="shared" si="18"/>
        <v/>
      </c>
      <c r="ED602" s="1490"/>
      <c r="EE602" s="1490"/>
      <c r="EF602" s="1490"/>
      <c r="EG602" s="1491"/>
      <c r="EH602" s="1489" t="str">
        <f t="shared" si="19"/>
        <v/>
      </c>
      <c r="EI602" s="1490"/>
      <c r="EJ602" s="1490"/>
      <c r="EK602" s="1490"/>
      <c r="EL602" s="1491"/>
      <c r="EM602" s="1489" t="str">
        <f t="shared" si="20"/>
        <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2.95" customHeight="1">
      <c r="A603" s="22"/>
      <c r="B603" t="s">
        <v>587</v>
      </c>
      <c r="G603" s="1380"/>
      <c r="H603" s="1380"/>
      <c r="I603" s="1380"/>
      <c r="J603" s="1380"/>
      <c r="K603" s="1380"/>
      <c r="L603" s="1380"/>
      <c r="M603" s="1380"/>
      <c r="N603" s="1380"/>
      <c r="O603" s="1380"/>
      <c r="P603" s="1380"/>
      <c r="Q603" s="1380"/>
      <c r="R603" s="1380"/>
      <c r="T603" s="22"/>
      <c r="U603" t="s">
        <v>587</v>
      </c>
      <c r="Z603" s="1434"/>
      <c r="AA603" s="1434"/>
      <c r="AB603" s="1434"/>
      <c r="AC603" s="1434"/>
      <c r="AD603" s="1434"/>
      <c r="AE603" s="1434"/>
      <c r="AF603" s="1434"/>
      <c r="AG603" s="1434"/>
      <c r="AH603" s="1434"/>
      <c r="AI603" s="1434"/>
      <c r="AJ603" s="1434"/>
      <c r="AK603" s="1434"/>
      <c r="AZ603" s="3"/>
      <c r="BA603" s="3"/>
      <c r="BB603" s="3"/>
      <c r="BC603" s="3"/>
      <c r="BD603" s="3"/>
      <c r="BE603" s="1489">
        <f t="shared" si="1"/>
        <v>0</v>
      </c>
      <c r="BF603" s="1491"/>
      <c r="BG603" s="1502">
        <f t="shared" si="2"/>
        <v>0</v>
      </c>
      <c r="BH603" s="1503"/>
      <c r="BI603" s="1489">
        <f t="shared" si="3"/>
        <v>0</v>
      </c>
      <c r="BJ603" s="1491"/>
      <c r="BK603" s="1502">
        <f t="shared" si="4"/>
        <v>0</v>
      </c>
      <c r="BL603" s="1503"/>
      <c r="BM603" s="3"/>
      <c r="BN603" s="1493">
        <f t="shared" si="5"/>
        <v>0</v>
      </c>
      <c r="BO603" s="1494"/>
      <c r="BP603" s="1494"/>
      <c r="BQ603" s="1494"/>
      <c r="BR603" s="1495"/>
      <c r="BS603" s="1492">
        <f t="shared" si="6"/>
        <v>0</v>
      </c>
      <c r="BT603" s="1492"/>
      <c r="BU603" s="1492"/>
      <c r="BV603" s="1492"/>
      <c r="BW603" s="1492"/>
      <c r="BX603" s="1492">
        <f t="shared" si="7"/>
        <v>0</v>
      </c>
      <c r="BY603" s="1492"/>
      <c r="BZ603" s="1492"/>
      <c r="CA603" s="1492"/>
      <c r="CB603" s="1492"/>
      <c r="CC603" s="1492">
        <f t="shared" si="8"/>
        <v>0</v>
      </c>
      <c r="CD603" s="1492"/>
      <c r="CE603" s="1492"/>
      <c r="CF603" s="1492"/>
      <c r="CG603" s="1492"/>
      <c r="CH603" s="1492">
        <f t="shared" si="9"/>
        <v>0</v>
      </c>
      <c r="CI603" s="1492"/>
      <c r="CJ603" s="1492"/>
      <c r="CK603" s="1492"/>
      <c r="CL603" s="1492"/>
      <c r="CM603" s="1492">
        <f t="shared" si="10"/>
        <v>0</v>
      </c>
      <c r="CN603" s="1492"/>
      <c r="CO603" s="1492"/>
      <c r="CP603" s="1492"/>
      <c r="CQ603" s="1492"/>
      <c r="CR603" s="6"/>
      <c r="CS603" s="1500">
        <f t="shared" si="11"/>
        <v>0</v>
      </c>
      <c r="CT603" s="1500"/>
      <c r="CU603" s="1500"/>
      <c r="CV603" s="1500"/>
      <c r="CW603" s="1500"/>
      <c r="CX603" s="1500">
        <f t="shared" si="12"/>
        <v>0</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89" t="str">
        <f t="shared" si="17"/>
        <v/>
      </c>
      <c r="DY603" s="1490"/>
      <c r="DZ603" s="1490"/>
      <c r="EA603" s="1490"/>
      <c r="EB603" s="1491"/>
      <c r="EC603" s="1489" t="str">
        <f t="shared" si="18"/>
        <v/>
      </c>
      <c r="ED603" s="1490"/>
      <c r="EE603" s="1490"/>
      <c r="EF603" s="1490"/>
      <c r="EG603" s="1491"/>
      <c r="EH603" s="1489" t="str">
        <f t="shared" si="19"/>
        <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89">
        <f t="shared" si="1"/>
        <v>0</v>
      </c>
      <c r="BF604" s="1491"/>
      <c r="BG604" s="1502">
        <f t="shared" si="2"/>
        <v>0</v>
      </c>
      <c r="BH604" s="1503"/>
      <c r="BI604" s="1489">
        <f t="shared" si="3"/>
        <v>0</v>
      </c>
      <c r="BJ604" s="1491"/>
      <c r="BK604" s="1502">
        <f t="shared" si="4"/>
        <v>0</v>
      </c>
      <c r="BL604" s="1503"/>
      <c r="BM604" s="3"/>
      <c r="BN604" s="1493">
        <f t="shared" si="5"/>
        <v>0</v>
      </c>
      <c r="BO604" s="1494"/>
      <c r="BP604" s="1494"/>
      <c r="BQ604" s="1494"/>
      <c r="BR604" s="1495"/>
      <c r="BS604" s="1492">
        <f t="shared" si="6"/>
        <v>0</v>
      </c>
      <c r="BT604" s="1492"/>
      <c r="BU604" s="1492"/>
      <c r="BV604" s="1492"/>
      <c r="BW604" s="1492"/>
      <c r="BX604" s="1492">
        <f t="shared" si="7"/>
        <v>0</v>
      </c>
      <c r="BY604" s="1492"/>
      <c r="BZ604" s="1492"/>
      <c r="CA604" s="1492"/>
      <c r="CB604" s="1492"/>
      <c r="CC604" s="1492">
        <f t="shared" si="8"/>
        <v>0</v>
      </c>
      <c r="CD604" s="1492"/>
      <c r="CE604" s="1492"/>
      <c r="CF604" s="1492"/>
      <c r="CG604" s="1492"/>
      <c r="CH604" s="1492">
        <f t="shared" si="9"/>
        <v>0</v>
      </c>
      <c r="CI604" s="1492"/>
      <c r="CJ604" s="1492"/>
      <c r="CK604" s="1492"/>
      <c r="CL604" s="1492"/>
      <c r="CM604" s="1492">
        <f t="shared" si="10"/>
        <v>0</v>
      </c>
      <c r="CN604" s="1492"/>
      <c r="CO604" s="1492"/>
      <c r="CP604" s="1492"/>
      <c r="CQ604" s="1492"/>
      <c r="CR604" s="6"/>
      <c r="CS604" s="1500">
        <f t="shared" si="11"/>
        <v>0</v>
      </c>
      <c r="CT604" s="1500"/>
      <c r="CU604" s="1500"/>
      <c r="CV604" s="1500"/>
      <c r="CW604" s="1500"/>
      <c r="CX604" s="1500">
        <f t="shared" si="12"/>
        <v>0</v>
      </c>
      <c r="CY604" s="1500"/>
      <c r="CZ604" s="1500"/>
      <c r="DA604" s="1500"/>
      <c r="DB604" s="1500"/>
      <c r="DC604" s="1500">
        <f t="shared" si="13"/>
        <v>0</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89" t="str">
        <f t="shared" si="17"/>
        <v/>
      </c>
      <c r="DY604" s="1490"/>
      <c r="DZ604" s="1490"/>
      <c r="EA604" s="1490"/>
      <c r="EB604" s="1491"/>
      <c r="EC604" s="1489" t="str">
        <f t="shared" si="18"/>
        <v/>
      </c>
      <c r="ED604" s="1490"/>
      <c r="EE604" s="1490"/>
      <c r="EF604" s="1490"/>
      <c r="EG604" s="1491"/>
      <c r="EH604" s="1489" t="str">
        <f t="shared" si="19"/>
        <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2.95" customHeight="1">
      <c r="A605" s="22"/>
      <c r="B605" t="s">
        <v>316</v>
      </c>
      <c r="C605"/>
      <c r="D605"/>
      <c r="E605"/>
      <c r="F605"/>
      <c r="G605" s="1390"/>
      <c r="H605" s="1391"/>
      <c r="I605" s="1391"/>
      <c r="J605" s="1391"/>
      <c r="K605" s="1391"/>
      <c r="L605" s="1391"/>
      <c r="M605"/>
      <c r="N605"/>
      <c r="O605" s="33" t="s">
        <v>206</v>
      </c>
      <c r="P605" s="1465"/>
      <c r="Q605" s="1465"/>
      <c r="R605" s="1465"/>
      <c r="S605"/>
      <c r="T605" s="22"/>
      <c r="U605" t="s">
        <v>316</v>
      </c>
      <c r="V605"/>
      <c r="W605"/>
      <c r="X605"/>
      <c r="Y605"/>
      <c r="Z605" s="1390"/>
      <c r="AA605" s="1391"/>
      <c r="AB605" s="1391"/>
      <c r="AC605" s="1391"/>
      <c r="AD605" s="1391"/>
      <c r="AE605" s="1391"/>
      <c r="AF605"/>
      <c r="AG605"/>
      <c r="AH605" s="33" t="s">
        <v>206</v>
      </c>
      <c r="AI605" s="1465"/>
      <c r="AJ605" s="1465"/>
      <c r="AK605" s="1465"/>
      <c r="AL605"/>
      <c r="AM605"/>
      <c r="AN605"/>
      <c r="AO605"/>
      <c r="AP605"/>
      <c r="AQ605"/>
      <c r="AR605"/>
      <c r="AS605"/>
      <c r="AT605"/>
      <c r="AU605"/>
      <c r="AV605"/>
      <c r="AW605"/>
      <c r="AX605"/>
      <c r="AY605"/>
      <c r="AZ605" s="3"/>
      <c r="BA605" s="3"/>
      <c r="BB605" s="3"/>
      <c r="BC605" s="3"/>
      <c r="BD605" s="3"/>
      <c r="BE605" s="1489">
        <f t="shared" si="1"/>
        <v>0</v>
      </c>
      <c r="BF605" s="1491"/>
      <c r="BG605" s="1502">
        <f t="shared" si="2"/>
        <v>0</v>
      </c>
      <c r="BH605" s="1503"/>
      <c r="BI605" s="1489">
        <f t="shared" si="3"/>
        <v>0</v>
      </c>
      <c r="BJ605" s="1491"/>
      <c r="BK605" s="1502">
        <f t="shared" si="4"/>
        <v>0</v>
      </c>
      <c r="BL605" s="1503"/>
      <c r="BM605" s="3"/>
      <c r="BN605" s="1493">
        <f t="shared" si="5"/>
        <v>0</v>
      </c>
      <c r="BO605" s="1494"/>
      <c r="BP605" s="1494"/>
      <c r="BQ605" s="1494"/>
      <c r="BR605" s="1495"/>
      <c r="BS605" s="1492">
        <f t="shared" si="6"/>
        <v>0</v>
      </c>
      <c r="BT605" s="1492"/>
      <c r="BU605" s="1492"/>
      <c r="BV605" s="1492"/>
      <c r="BW605" s="1492"/>
      <c r="BX605" s="1492">
        <f t="shared" si="7"/>
        <v>0</v>
      </c>
      <c r="BY605" s="1492"/>
      <c r="BZ605" s="1492"/>
      <c r="CA605" s="1492"/>
      <c r="CB605" s="1492"/>
      <c r="CC605" s="1492">
        <f t="shared" si="8"/>
        <v>0</v>
      </c>
      <c r="CD605" s="1492"/>
      <c r="CE605" s="1492"/>
      <c r="CF605" s="1492"/>
      <c r="CG605" s="1492"/>
      <c r="CH605" s="1492">
        <f t="shared" si="9"/>
        <v>0</v>
      </c>
      <c r="CI605" s="1492"/>
      <c r="CJ605" s="1492"/>
      <c r="CK605" s="1492"/>
      <c r="CL605" s="1492"/>
      <c r="CM605" s="1492">
        <f t="shared" si="10"/>
        <v>0</v>
      </c>
      <c r="CN605" s="1492"/>
      <c r="CO605" s="1492"/>
      <c r="CP605" s="1492"/>
      <c r="CQ605" s="1492"/>
      <c r="CR605" s="6"/>
      <c r="CS605" s="1500">
        <f t="shared" si="11"/>
        <v>0</v>
      </c>
      <c r="CT605" s="1500"/>
      <c r="CU605" s="1500"/>
      <c r="CV605" s="1500"/>
      <c r="CW605" s="1500"/>
      <c r="CX605" s="1500">
        <f t="shared" si="12"/>
        <v>0</v>
      </c>
      <c r="CY605" s="1500"/>
      <c r="CZ605" s="1500"/>
      <c r="DA605" s="1500"/>
      <c r="DB605" s="1500"/>
      <c r="DC605" s="1500">
        <f t="shared" si="13"/>
        <v>0</v>
      </c>
      <c r="DD605" s="1500"/>
      <c r="DE605" s="1500"/>
      <c r="DF605" s="1500"/>
      <c r="DG605" s="1500"/>
      <c r="DH605" s="1500">
        <f t="shared" si="14"/>
        <v>0</v>
      </c>
      <c r="DI605" s="1500"/>
      <c r="DJ605" s="1500"/>
      <c r="DK605" s="1500"/>
      <c r="DL605" s="1500"/>
      <c r="DM605" s="1500">
        <f t="shared" si="15"/>
        <v>0</v>
      </c>
      <c r="DN605" s="1500"/>
      <c r="DO605" s="1500"/>
      <c r="DP605" s="1500"/>
      <c r="DQ605" s="1500"/>
      <c r="DR605" s="1500">
        <f t="shared" si="16"/>
        <v>0</v>
      </c>
      <c r="DS605" s="1500"/>
      <c r="DT605" s="1500"/>
      <c r="DU605" s="1500"/>
      <c r="DV605" s="1500"/>
      <c r="DX605" s="1489" t="str">
        <f t="shared" si="17"/>
        <v/>
      </c>
      <c r="DY605" s="1490"/>
      <c r="DZ605" s="1490"/>
      <c r="EA605" s="1490"/>
      <c r="EB605" s="1491"/>
      <c r="EC605" s="1489" t="str">
        <f t="shared" si="18"/>
        <v/>
      </c>
      <c r="ED605" s="1490"/>
      <c r="EE605" s="1490"/>
      <c r="EF605" s="1490"/>
      <c r="EG605" s="1491"/>
      <c r="EH605" s="1489" t="str">
        <f t="shared" si="19"/>
        <v/>
      </c>
      <c r="EI605" s="1490"/>
      <c r="EJ605" s="1490"/>
      <c r="EK605" s="1490"/>
      <c r="EL605" s="1491"/>
      <c r="EM605" s="1489" t="str">
        <f t="shared" si="20"/>
        <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9">
        <f t="shared" si="1"/>
        <v>0</v>
      </c>
      <c r="BF606" s="1491"/>
      <c r="BG606" s="1502">
        <f t="shared" si="2"/>
        <v>0</v>
      </c>
      <c r="BH606" s="1503"/>
      <c r="BI606" s="1489">
        <f t="shared" si="3"/>
        <v>0</v>
      </c>
      <c r="BJ606" s="1491"/>
      <c r="BK606" s="1502">
        <f t="shared" si="4"/>
        <v>0</v>
      </c>
      <c r="BL606" s="1503"/>
      <c r="BM606" s="3"/>
      <c r="BN606" s="1493">
        <f t="shared" si="5"/>
        <v>0</v>
      </c>
      <c r="BO606" s="1494"/>
      <c r="BP606" s="1494"/>
      <c r="BQ606" s="1494"/>
      <c r="BR606" s="1495"/>
      <c r="BS606" s="1492">
        <f t="shared" si="6"/>
        <v>0</v>
      </c>
      <c r="BT606" s="1492"/>
      <c r="BU606" s="1492"/>
      <c r="BV606" s="1492"/>
      <c r="BW606" s="1492"/>
      <c r="BX606" s="1492">
        <f t="shared" si="7"/>
        <v>0</v>
      </c>
      <c r="BY606" s="1492"/>
      <c r="BZ606" s="1492"/>
      <c r="CA606" s="1492"/>
      <c r="CB606" s="1492"/>
      <c r="CC606" s="1492">
        <f t="shared" si="8"/>
        <v>0</v>
      </c>
      <c r="CD606" s="1492"/>
      <c r="CE606" s="1492"/>
      <c r="CF606" s="1492"/>
      <c r="CG606" s="1492"/>
      <c r="CH606" s="1492">
        <f t="shared" si="9"/>
        <v>0</v>
      </c>
      <c r="CI606" s="1492"/>
      <c r="CJ606" s="1492"/>
      <c r="CK606" s="1492"/>
      <c r="CL606" s="1492"/>
      <c r="CM606" s="1492">
        <f t="shared" si="10"/>
        <v>0</v>
      </c>
      <c r="CN606" s="1492"/>
      <c r="CO606" s="1492"/>
      <c r="CP606" s="1492"/>
      <c r="CQ606" s="1492"/>
      <c r="CR606" s="6"/>
      <c r="CS606" s="1500">
        <f t="shared" si="11"/>
        <v>0</v>
      </c>
      <c r="CT606" s="1500"/>
      <c r="CU606" s="1500"/>
      <c r="CV606" s="1500"/>
      <c r="CW606" s="1500"/>
      <c r="CX606" s="1500">
        <f t="shared" si="12"/>
        <v>0</v>
      </c>
      <c r="CY606" s="1500"/>
      <c r="CZ606" s="1500"/>
      <c r="DA606" s="1500"/>
      <c r="DB606" s="1500"/>
      <c r="DC606" s="1500">
        <f t="shared" si="13"/>
        <v>0</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89" t="str">
        <f t="shared" si="17"/>
        <v/>
      </c>
      <c r="DY606" s="1490"/>
      <c r="DZ606" s="1490"/>
      <c r="EA606" s="1490"/>
      <c r="EB606" s="1491"/>
      <c r="EC606" s="1489" t="str">
        <f t="shared" si="18"/>
        <v/>
      </c>
      <c r="ED606" s="1490"/>
      <c r="EE606" s="1490"/>
      <c r="EF606" s="1490"/>
      <c r="EG606" s="1491"/>
      <c r="EH606" s="1489" t="str">
        <f t="shared" si="19"/>
        <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2.95" customHeight="1">
      <c r="A607" s="22"/>
      <c r="B607" t="s">
        <v>20</v>
      </c>
      <c r="C607"/>
      <c r="D607"/>
      <c r="E607"/>
      <c r="F607"/>
      <c r="G607"/>
      <c r="H607"/>
      <c r="I607"/>
      <c r="J607"/>
      <c r="K607"/>
      <c r="L607"/>
      <c r="M607"/>
      <c r="N607" s="1379" t="s">
        <v>675</v>
      </c>
      <c r="O607" s="1379"/>
      <c r="P607"/>
      <c r="Q607"/>
      <c r="R607"/>
      <c r="S607"/>
      <c r="T607" s="22"/>
      <c r="U607" t="s">
        <v>20</v>
      </c>
      <c r="V607"/>
      <c r="W607"/>
      <c r="X607"/>
      <c r="Y607"/>
      <c r="Z607"/>
      <c r="AA607"/>
      <c r="AB607"/>
      <c r="AC607"/>
      <c r="AD607"/>
      <c r="AE607"/>
      <c r="AF607"/>
      <c r="AG607" s="1379" t="s">
        <v>675</v>
      </c>
      <c r="AH607" s="1379"/>
      <c r="AI607"/>
      <c r="AJ607"/>
      <c r="AK607"/>
      <c r="AL607"/>
      <c r="AM607"/>
      <c r="AN607"/>
      <c r="AO607"/>
      <c r="AP607"/>
      <c r="AQ607"/>
      <c r="AR607"/>
      <c r="AS607"/>
      <c r="AT607"/>
      <c r="AU607"/>
      <c r="AV607"/>
      <c r="AW607"/>
      <c r="AX607"/>
      <c r="AY607"/>
      <c r="AZ607" s="3"/>
      <c r="BA607" s="3"/>
      <c r="BB607" s="3"/>
      <c r="BC607" s="3"/>
      <c r="BD607" s="3"/>
      <c r="BE607" s="1489">
        <f t="shared" si="1"/>
        <v>0</v>
      </c>
      <c r="BF607" s="1491"/>
      <c r="BG607" s="1502">
        <f t="shared" si="2"/>
        <v>0</v>
      </c>
      <c r="BH607" s="1503"/>
      <c r="BI607" s="1489">
        <f t="shared" si="3"/>
        <v>0</v>
      </c>
      <c r="BJ607" s="1491"/>
      <c r="BK607" s="1502">
        <f t="shared" si="4"/>
        <v>0</v>
      </c>
      <c r="BL607" s="1503"/>
      <c r="BM607" s="3"/>
      <c r="BN607" s="1493">
        <f t="shared" si="5"/>
        <v>0</v>
      </c>
      <c r="BO607" s="1494"/>
      <c r="BP607" s="1494"/>
      <c r="BQ607" s="1494"/>
      <c r="BR607" s="1495"/>
      <c r="BS607" s="1492">
        <f t="shared" si="6"/>
        <v>0</v>
      </c>
      <c r="BT607" s="1492"/>
      <c r="BU607" s="1492"/>
      <c r="BV607" s="1492"/>
      <c r="BW607" s="1492"/>
      <c r="BX607" s="1492">
        <f t="shared" si="7"/>
        <v>0</v>
      </c>
      <c r="BY607" s="1492"/>
      <c r="BZ607" s="1492"/>
      <c r="CA607" s="1492"/>
      <c r="CB607" s="1492"/>
      <c r="CC607" s="1492">
        <f t="shared" si="8"/>
        <v>0</v>
      </c>
      <c r="CD607" s="1492"/>
      <c r="CE607" s="1492"/>
      <c r="CF607" s="1492"/>
      <c r="CG607" s="1492"/>
      <c r="CH607" s="1492">
        <f t="shared" si="9"/>
        <v>0</v>
      </c>
      <c r="CI607" s="1492"/>
      <c r="CJ607" s="1492"/>
      <c r="CK607" s="1492"/>
      <c r="CL607" s="1492"/>
      <c r="CM607" s="1492">
        <f t="shared" si="10"/>
        <v>0</v>
      </c>
      <c r="CN607" s="1492"/>
      <c r="CO607" s="1492"/>
      <c r="CP607" s="1492"/>
      <c r="CQ607" s="1492"/>
      <c r="CR607" s="6"/>
      <c r="CS607" s="1500">
        <f t="shared" si="11"/>
        <v>0</v>
      </c>
      <c r="CT607" s="1500"/>
      <c r="CU607" s="1500"/>
      <c r="CV607" s="1500"/>
      <c r="CW607" s="1500"/>
      <c r="CX607" s="1500">
        <f t="shared" si="12"/>
        <v>0</v>
      </c>
      <c r="CY607" s="1500"/>
      <c r="CZ607" s="1500"/>
      <c r="DA607" s="1500"/>
      <c r="DB607" s="1500"/>
      <c r="DC607" s="1500">
        <f t="shared" si="13"/>
        <v>0</v>
      </c>
      <c r="DD607" s="1500"/>
      <c r="DE607" s="1500"/>
      <c r="DF607" s="1500"/>
      <c r="DG607" s="1500"/>
      <c r="DH607" s="1500">
        <f t="shared" si="14"/>
        <v>0</v>
      </c>
      <c r="DI607" s="1500"/>
      <c r="DJ607" s="1500"/>
      <c r="DK607" s="1500"/>
      <c r="DL607" s="1500"/>
      <c r="DM607" s="1500">
        <f t="shared" si="15"/>
        <v>0</v>
      </c>
      <c r="DN607" s="1500"/>
      <c r="DO607" s="1500"/>
      <c r="DP607" s="1500"/>
      <c r="DQ607" s="1500"/>
      <c r="DR607" s="1500">
        <f t="shared" si="16"/>
        <v>0</v>
      </c>
      <c r="DS607" s="1500"/>
      <c r="DT607" s="1500"/>
      <c r="DU607" s="1500"/>
      <c r="DV607" s="1500"/>
      <c r="DX607" s="1489" t="str">
        <f t="shared" si="17"/>
        <v/>
      </c>
      <c r="DY607" s="1490"/>
      <c r="DZ607" s="1490"/>
      <c r="EA607" s="1490"/>
      <c r="EB607" s="1491"/>
      <c r="EC607" s="1489" t="str">
        <f t="shared" si="18"/>
        <v/>
      </c>
      <c r="ED607" s="1490"/>
      <c r="EE607" s="1490"/>
      <c r="EF607" s="1490"/>
      <c r="EG607" s="1491"/>
      <c r="EH607" s="1489" t="str">
        <f t="shared" si="19"/>
        <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2.95" customHeight="1">
      <c r="A608" s="22"/>
      <c r="T608" s="22"/>
      <c r="AZ608" s="3"/>
      <c r="BA608" s="3"/>
      <c r="BB608" s="3"/>
      <c r="BC608" s="3"/>
      <c r="BD608" s="3"/>
      <c r="BE608" s="1489">
        <f t="shared" si="1"/>
        <v>0</v>
      </c>
      <c r="BF608" s="1491"/>
      <c r="BG608" s="1502">
        <f t="shared" si="2"/>
        <v>0</v>
      </c>
      <c r="BH608" s="1503"/>
      <c r="BI608" s="1489">
        <f t="shared" si="3"/>
        <v>0</v>
      </c>
      <c r="BJ608" s="1491"/>
      <c r="BK608" s="1502">
        <f t="shared" si="4"/>
        <v>0</v>
      </c>
      <c r="BL608" s="1503"/>
      <c r="BM608" s="3"/>
      <c r="BN608" s="1493">
        <f t="shared" si="5"/>
        <v>0</v>
      </c>
      <c r="BO608" s="1494"/>
      <c r="BP608" s="1494"/>
      <c r="BQ608" s="1494"/>
      <c r="BR608" s="1495"/>
      <c r="BS608" s="1492">
        <f t="shared" si="6"/>
        <v>0</v>
      </c>
      <c r="BT608" s="1492"/>
      <c r="BU608" s="1492"/>
      <c r="BV608" s="1492"/>
      <c r="BW608" s="1492"/>
      <c r="BX608" s="1492">
        <f t="shared" si="7"/>
        <v>0</v>
      </c>
      <c r="BY608" s="1492"/>
      <c r="BZ608" s="1492"/>
      <c r="CA608" s="1492"/>
      <c r="CB608" s="1492"/>
      <c r="CC608" s="1492">
        <f t="shared" si="8"/>
        <v>0</v>
      </c>
      <c r="CD608" s="1492"/>
      <c r="CE608" s="1492"/>
      <c r="CF608" s="1492"/>
      <c r="CG608" s="1492"/>
      <c r="CH608" s="1492">
        <f t="shared" si="9"/>
        <v>0</v>
      </c>
      <c r="CI608" s="1492"/>
      <c r="CJ608" s="1492"/>
      <c r="CK608" s="1492"/>
      <c r="CL608" s="1492"/>
      <c r="CM608" s="1492">
        <f t="shared" si="10"/>
        <v>0</v>
      </c>
      <c r="CN608" s="1492"/>
      <c r="CO608" s="1492"/>
      <c r="CP608" s="1492"/>
      <c r="CQ608" s="1492"/>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0</v>
      </c>
      <c r="DI608" s="1500"/>
      <c r="DJ608" s="1500"/>
      <c r="DK608" s="1500"/>
      <c r="DL608" s="1500"/>
      <c r="DM608" s="1500">
        <f t="shared" si="15"/>
        <v>0</v>
      </c>
      <c r="DN608" s="1500"/>
      <c r="DO608" s="1500"/>
      <c r="DP608" s="1500"/>
      <c r="DQ608" s="1500"/>
      <c r="DR608" s="1500">
        <f t="shared" si="16"/>
        <v>0</v>
      </c>
      <c r="DS608" s="1500"/>
      <c r="DT608" s="1500"/>
      <c r="DU608" s="1500"/>
      <c r="DV608" s="1500"/>
      <c r="DX608" s="1489" t="str">
        <f t="shared" si="17"/>
        <v/>
      </c>
      <c r="DY608" s="1490"/>
      <c r="DZ608" s="1490"/>
      <c r="EA608" s="1490"/>
      <c r="EB608" s="1491"/>
      <c r="EC608" s="1489" t="str">
        <f t="shared" si="18"/>
        <v/>
      </c>
      <c r="ED608" s="1490"/>
      <c r="EE608" s="1490"/>
      <c r="EF608" s="1490"/>
      <c r="EG608" s="1491"/>
      <c r="EH608" s="1489" t="str">
        <f t="shared" si="19"/>
        <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2.95" customHeight="1">
      <c r="A609" s="55" t="s">
        <v>362</v>
      </c>
      <c r="B609" t="s">
        <v>470</v>
      </c>
      <c r="G609" s="1456">
        <f>C564</f>
        <v>0</v>
      </c>
      <c r="H609" s="1456"/>
      <c r="I609" s="1456"/>
      <c r="J609" s="1456"/>
      <c r="K609" s="1456"/>
      <c r="L609" s="1456"/>
      <c r="M609" s="1456"/>
      <c r="N609" s="1456"/>
      <c r="O609" s="1456"/>
      <c r="P609" s="1456"/>
      <c r="Q609" s="1456"/>
      <c r="R609" s="1456"/>
      <c r="T609" s="55" t="s">
        <v>363</v>
      </c>
      <c r="U609" t="s">
        <v>470</v>
      </c>
      <c r="Z609" s="1456">
        <f>C565</f>
        <v>0</v>
      </c>
      <c r="AA609" s="1456"/>
      <c r="AB609" s="1456"/>
      <c r="AC609" s="1456"/>
      <c r="AD609" s="1456"/>
      <c r="AE609" s="1456"/>
      <c r="AF609" s="1456"/>
      <c r="AG609" s="1456"/>
      <c r="AH609" s="1456"/>
      <c r="AI609" s="1456"/>
      <c r="AJ609" s="1456"/>
      <c r="AK609" s="1456"/>
      <c r="AZ609" s="3"/>
      <c r="BA609" s="3"/>
      <c r="BB609" s="3"/>
      <c r="BC609" s="3"/>
      <c r="BD609" s="3"/>
      <c r="BE609" s="1489">
        <f t="shared" si="1"/>
        <v>0</v>
      </c>
      <c r="BF609" s="1491"/>
      <c r="BG609" s="1502">
        <f t="shared" si="2"/>
        <v>0</v>
      </c>
      <c r="BH609" s="1503"/>
      <c r="BI609" s="1489">
        <f t="shared" si="3"/>
        <v>0</v>
      </c>
      <c r="BJ609" s="1491"/>
      <c r="BK609" s="1502">
        <f t="shared" si="4"/>
        <v>0</v>
      </c>
      <c r="BL609" s="1503"/>
      <c r="BM609" s="3"/>
      <c r="BN609" s="1493">
        <f t="shared" si="5"/>
        <v>0</v>
      </c>
      <c r="BO609" s="1494"/>
      <c r="BP609" s="1494"/>
      <c r="BQ609" s="1494"/>
      <c r="BR609" s="1495"/>
      <c r="BS609" s="1492">
        <f t="shared" si="6"/>
        <v>0</v>
      </c>
      <c r="BT609" s="1492"/>
      <c r="BU609" s="1492"/>
      <c r="BV609" s="1492"/>
      <c r="BW609" s="1492"/>
      <c r="BX609" s="1492">
        <f t="shared" si="7"/>
        <v>0</v>
      </c>
      <c r="BY609" s="1492"/>
      <c r="BZ609" s="1492"/>
      <c r="CA609" s="1492"/>
      <c r="CB609" s="1492"/>
      <c r="CC609" s="1492">
        <f t="shared" si="8"/>
        <v>0</v>
      </c>
      <c r="CD609" s="1492"/>
      <c r="CE609" s="1492"/>
      <c r="CF609" s="1492"/>
      <c r="CG609" s="1492"/>
      <c r="CH609" s="1492">
        <f t="shared" si="9"/>
        <v>0</v>
      </c>
      <c r="CI609" s="1492"/>
      <c r="CJ609" s="1492"/>
      <c r="CK609" s="1492"/>
      <c r="CL609" s="1492"/>
      <c r="CM609" s="1492">
        <f t="shared" si="10"/>
        <v>0</v>
      </c>
      <c r="CN609" s="1492"/>
      <c r="CO609" s="1492"/>
      <c r="CP609" s="1492"/>
      <c r="CQ609" s="1492"/>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0</v>
      </c>
      <c r="DI609" s="1500"/>
      <c r="DJ609" s="1500"/>
      <c r="DK609" s="1500"/>
      <c r="DL609" s="1500"/>
      <c r="DM609" s="1500">
        <f t="shared" si="15"/>
        <v>0</v>
      </c>
      <c r="DN609" s="1500"/>
      <c r="DO609" s="1500"/>
      <c r="DP609" s="1500"/>
      <c r="DQ609" s="1500"/>
      <c r="DR609" s="1500">
        <f t="shared" si="16"/>
        <v>0</v>
      </c>
      <c r="DS609" s="1500"/>
      <c r="DT609" s="1500"/>
      <c r="DU609" s="1500"/>
      <c r="DV609" s="1500"/>
      <c r="DX609" s="1489" t="str">
        <f t="shared" si="17"/>
        <v/>
      </c>
      <c r="DY609" s="1490"/>
      <c r="DZ609" s="1490"/>
      <c r="EA609" s="1490"/>
      <c r="EB609" s="1491"/>
      <c r="EC609" s="1489" t="str">
        <f t="shared" si="18"/>
        <v/>
      </c>
      <c r="ED609" s="1490"/>
      <c r="EE609" s="1490"/>
      <c r="EF609" s="1490"/>
      <c r="EG609" s="1491"/>
      <c r="EH609" s="1489" t="str">
        <f t="shared" si="19"/>
        <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9">
        <f t="shared" si="1"/>
        <v>0</v>
      </c>
      <c r="BF610" s="1491"/>
      <c r="BG610" s="1502">
        <f t="shared" si="2"/>
        <v>0</v>
      </c>
      <c r="BH610" s="1503"/>
      <c r="BI610" s="1489">
        <f t="shared" si="3"/>
        <v>0</v>
      </c>
      <c r="BJ610" s="1491"/>
      <c r="BK610" s="1502">
        <f t="shared" si="4"/>
        <v>0</v>
      </c>
      <c r="BL610" s="1503"/>
      <c r="BM610" s="3"/>
      <c r="BN610" s="1493">
        <f t="shared" si="5"/>
        <v>0</v>
      </c>
      <c r="BO610" s="1494"/>
      <c r="BP610" s="1494"/>
      <c r="BQ610" s="1494"/>
      <c r="BR610" s="1495"/>
      <c r="BS610" s="1492">
        <f t="shared" si="6"/>
        <v>0</v>
      </c>
      <c r="BT610" s="1492"/>
      <c r="BU610" s="1492"/>
      <c r="BV610" s="1492"/>
      <c r="BW610" s="1492"/>
      <c r="BX610" s="1492">
        <f t="shared" si="7"/>
        <v>0</v>
      </c>
      <c r="BY610" s="1492"/>
      <c r="BZ610" s="1492"/>
      <c r="CA610" s="1492"/>
      <c r="CB610" s="1492"/>
      <c r="CC610" s="1492">
        <f t="shared" si="8"/>
        <v>0</v>
      </c>
      <c r="CD610" s="1492"/>
      <c r="CE610" s="1492"/>
      <c r="CF610" s="1492"/>
      <c r="CG610" s="1492"/>
      <c r="CH610" s="1492">
        <f t="shared" si="9"/>
        <v>0</v>
      </c>
      <c r="CI610" s="1492"/>
      <c r="CJ610" s="1492"/>
      <c r="CK610" s="1492"/>
      <c r="CL610" s="1492"/>
      <c r="CM610" s="1492">
        <f t="shared" si="10"/>
        <v>0</v>
      </c>
      <c r="CN610" s="1492"/>
      <c r="CO610" s="1492"/>
      <c r="CP610" s="1492"/>
      <c r="CQ610" s="1492"/>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t="str">
        <f t="shared" si="20"/>
        <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2.95" customHeight="1">
      <c r="B611" t="s">
        <v>587</v>
      </c>
      <c r="G611" s="1380"/>
      <c r="H611" s="1380"/>
      <c r="I611" s="1380"/>
      <c r="J611" s="1380"/>
      <c r="K611" s="1380"/>
      <c r="L611" s="1380"/>
      <c r="M611" s="1380"/>
      <c r="N611" s="1380"/>
      <c r="O611" s="1380"/>
      <c r="P611" s="1380"/>
      <c r="Q611" s="1380"/>
      <c r="R611" s="1380"/>
      <c r="U611" t="s">
        <v>587</v>
      </c>
      <c r="Z611" s="1434"/>
      <c r="AA611" s="1434"/>
      <c r="AB611" s="1434"/>
      <c r="AC611" s="1434"/>
      <c r="AD611" s="1434"/>
      <c r="AE611" s="1434"/>
      <c r="AF611" s="1434"/>
      <c r="AG611" s="1434"/>
      <c r="AH611" s="1434"/>
      <c r="AI611" s="1434"/>
      <c r="AJ611" s="1434"/>
      <c r="AK611" s="1434"/>
      <c r="AZ611" s="3"/>
      <c r="BA611" s="3"/>
      <c r="BB611" s="3"/>
      <c r="BC611" s="3"/>
      <c r="BD611" s="3"/>
      <c r="BE611" s="1489">
        <f t="shared" si="1"/>
        <v>0</v>
      </c>
      <c r="BF611" s="1491"/>
      <c r="BG611" s="1502">
        <f t="shared" si="2"/>
        <v>0</v>
      </c>
      <c r="BH611" s="1503"/>
      <c r="BI611" s="1489">
        <f t="shared" si="3"/>
        <v>0</v>
      </c>
      <c r="BJ611" s="1491"/>
      <c r="BK611" s="1502">
        <f t="shared" si="4"/>
        <v>0</v>
      </c>
      <c r="BL611" s="1503"/>
      <c r="BM611" s="3"/>
      <c r="BN611" s="1493">
        <f t="shared" si="5"/>
        <v>0</v>
      </c>
      <c r="BO611" s="1494"/>
      <c r="BP611" s="1494"/>
      <c r="BQ611" s="1494"/>
      <c r="BR611" s="1495"/>
      <c r="BS611" s="1492">
        <f t="shared" si="6"/>
        <v>0</v>
      </c>
      <c r="BT611" s="1492"/>
      <c r="BU611" s="1492"/>
      <c r="BV611" s="1492"/>
      <c r="BW611" s="1492"/>
      <c r="BX611" s="1492">
        <f t="shared" si="7"/>
        <v>0</v>
      </c>
      <c r="BY611" s="1492"/>
      <c r="BZ611" s="1492"/>
      <c r="CA611" s="1492"/>
      <c r="CB611" s="1492"/>
      <c r="CC611" s="1492">
        <f t="shared" si="8"/>
        <v>0</v>
      </c>
      <c r="CD611" s="1492"/>
      <c r="CE611" s="1492"/>
      <c r="CF611" s="1492"/>
      <c r="CG611" s="1492"/>
      <c r="CH611" s="1492">
        <f t="shared" si="9"/>
        <v>0</v>
      </c>
      <c r="CI611" s="1492"/>
      <c r="CJ611" s="1492"/>
      <c r="CK611" s="1492"/>
      <c r="CL611" s="1492"/>
      <c r="CM611" s="1492">
        <f t="shared" si="10"/>
        <v>0</v>
      </c>
      <c r="CN611" s="1492"/>
      <c r="CO611" s="1492"/>
      <c r="CP611" s="1492"/>
      <c r="CQ611" s="1492"/>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t="str">
        <f t="shared" si="20"/>
        <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2.95" customHeight="1">
      <c r="B612" t="s">
        <v>17</v>
      </c>
      <c r="G612" s="1380"/>
      <c r="H612" s="1380"/>
      <c r="I612" s="1380"/>
      <c r="J612" s="1380"/>
      <c r="K612" s="1380"/>
      <c r="L612" s="1380"/>
      <c r="M612" s="1380"/>
      <c r="N612" s="1380"/>
      <c r="O612" s="1380"/>
      <c r="P612" s="1380"/>
      <c r="Q612" s="1380"/>
      <c r="R612" s="1380"/>
      <c r="U612" t="s">
        <v>17</v>
      </c>
      <c r="Z612" s="1434"/>
      <c r="AA612" s="1434"/>
      <c r="AB612" s="1434"/>
      <c r="AC612" s="1434"/>
      <c r="AD612" s="1434"/>
      <c r="AE612" s="1434"/>
      <c r="AF612" s="1434"/>
      <c r="AG612" s="1434"/>
      <c r="AH612" s="1434"/>
      <c r="AI612" s="1434"/>
      <c r="AJ612" s="1434"/>
      <c r="AK612" s="1434"/>
      <c r="AZ612" s="3"/>
      <c r="BA612" s="3"/>
      <c r="BB612" s="3"/>
      <c r="BC612" s="3"/>
      <c r="BD612" s="3"/>
      <c r="BE612" s="1489">
        <f t="shared" si="1"/>
        <v>0</v>
      </c>
      <c r="BF612" s="1491"/>
      <c r="BG612" s="1502">
        <f t="shared" si="2"/>
        <v>0</v>
      </c>
      <c r="BH612" s="1503"/>
      <c r="BI612" s="1489">
        <f t="shared" si="3"/>
        <v>0</v>
      </c>
      <c r="BJ612" s="1491"/>
      <c r="BK612" s="1502">
        <f t="shared" si="4"/>
        <v>0</v>
      </c>
      <c r="BL612" s="1503"/>
      <c r="BM612" s="3"/>
      <c r="BN612" s="1493">
        <f t="shared" si="5"/>
        <v>0</v>
      </c>
      <c r="BO612" s="1494"/>
      <c r="BP612" s="1494"/>
      <c r="BQ612" s="1494"/>
      <c r="BR612" s="1495"/>
      <c r="BS612" s="1492">
        <f t="shared" si="6"/>
        <v>0</v>
      </c>
      <c r="BT612" s="1492"/>
      <c r="BU612" s="1492"/>
      <c r="BV612" s="1492"/>
      <c r="BW612" s="1492"/>
      <c r="BX612" s="1492">
        <f t="shared" si="7"/>
        <v>0</v>
      </c>
      <c r="BY612" s="1492"/>
      <c r="BZ612" s="1492"/>
      <c r="CA612" s="1492"/>
      <c r="CB612" s="1492"/>
      <c r="CC612" s="1492">
        <f t="shared" si="8"/>
        <v>0</v>
      </c>
      <c r="CD612" s="1492"/>
      <c r="CE612" s="1492"/>
      <c r="CF612" s="1492"/>
      <c r="CG612" s="1492"/>
      <c r="CH612" s="1492">
        <f t="shared" si="9"/>
        <v>0</v>
      </c>
      <c r="CI612" s="1492"/>
      <c r="CJ612" s="1492"/>
      <c r="CK612" s="1492"/>
      <c r="CL612" s="1492"/>
      <c r="CM612" s="1492">
        <f t="shared" si="10"/>
        <v>0</v>
      </c>
      <c r="CN612" s="1492"/>
      <c r="CO612" s="1492"/>
      <c r="CP612" s="1492"/>
      <c r="CQ612" s="1492"/>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89" t="str">
        <f t="shared" si="17"/>
        <v/>
      </c>
      <c r="DY612" s="1490"/>
      <c r="DZ612" s="1490"/>
      <c r="EA612" s="1490"/>
      <c r="EB612" s="1491"/>
      <c r="EC612" s="1489" t="str">
        <f t="shared" si="18"/>
        <v/>
      </c>
      <c r="ED612" s="1490"/>
      <c r="EE612" s="1490"/>
      <c r="EF612" s="1490"/>
      <c r="EG612" s="1491"/>
      <c r="EH612" s="1489" t="str">
        <f t="shared" si="19"/>
        <v/>
      </c>
      <c r="EI612" s="1490"/>
      <c r="EJ612" s="1490"/>
      <c r="EK612" s="1490"/>
      <c r="EL612" s="1491"/>
      <c r="EM612" s="1489" t="str">
        <f t="shared" si="20"/>
        <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2.95" customHeight="1">
      <c r="B613" t="s">
        <v>316</v>
      </c>
      <c r="G613" s="1391"/>
      <c r="H613" s="1391"/>
      <c r="I613" s="1391"/>
      <c r="J613" s="1391"/>
      <c r="K613" s="1391"/>
      <c r="L613" s="1391"/>
      <c r="O613" s="33" t="s">
        <v>206</v>
      </c>
      <c r="P613" s="1465"/>
      <c r="Q613" s="1465"/>
      <c r="R613" s="1465"/>
      <c r="U613" t="s">
        <v>316</v>
      </c>
      <c r="Z613" s="1391"/>
      <c r="AA613" s="1391"/>
      <c r="AB613" s="1391"/>
      <c r="AC613" s="1391"/>
      <c r="AD613" s="1391"/>
      <c r="AE613" s="1391"/>
      <c r="AH613" s="33" t="s">
        <v>206</v>
      </c>
      <c r="AI613" s="1465"/>
      <c r="AJ613" s="1465"/>
      <c r="AK613" s="1465"/>
      <c r="AZ613" s="3"/>
      <c r="BA613" s="3"/>
      <c r="BB613" s="3"/>
      <c r="BC613" s="3"/>
      <c r="BD613" s="3"/>
      <c r="BE613" s="1489">
        <f t="shared" si="1"/>
        <v>0</v>
      </c>
      <c r="BF613" s="1491"/>
      <c r="BG613" s="1502">
        <f t="shared" si="2"/>
        <v>0</v>
      </c>
      <c r="BH613" s="1503"/>
      <c r="BI613" s="1489">
        <f t="shared" si="3"/>
        <v>0</v>
      </c>
      <c r="BJ613" s="1491"/>
      <c r="BK613" s="1502">
        <f t="shared" si="4"/>
        <v>0</v>
      </c>
      <c r="BL613" s="1503"/>
      <c r="BM613" s="3"/>
      <c r="BN613" s="1493">
        <f t="shared" si="5"/>
        <v>0</v>
      </c>
      <c r="BO613" s="1494"/>
      <c r="BP613" s="1494"/>
      <c r="BQ613" s="1494"/>
      <c r="BR613" s="1495"/>
      <c r="BS613" s="1492">
        <f t="shared" si="6"/>
        <v>0</v>
      </c>
      <c r="BT613" s="1492"/>
      <c r="BU613" s="1492"/>
      <c r="BV613" s="1492"/>
      <c r="BW613" s="1492"/>
      <c r="BX613" s="1492">
        <f t="shared" si="7"/>
        <v>0</v>
      </c>
      <c r="BY613" s="1492"/>
      <c r="BZ613" s="1492"/>
      <c r="CA613" s="1492"/>
      <c r="CB613" s="1492"/>
      <c r="CC613" s="1492">
        <f t="shared" si="8"/>
        <v>0</v>
      </c>
      <c r="CD613" s="1492"/>
      <c r="CE613" s="1492"/>
      <c r="CF613" s="1492"/>
      <c r="CG613" s="1492"/>
      <c r="CH613" s="1492">
        <f t="shared" si="9"/>
        <v>0</v>
      </c>
      <c r="CI613" s="1492"/>
      <c r="CJ613" s="1492"/>
      <c r="CK613" s="1492"/>
      <c r="CL613" s="1492"/>
      <c r="CM613" s="1492">
        <f t="shared" si="10"/>
        <v>0</v>
      </c>
      <c r="CN613" s="1492"/>
      <c r="CO613" s="1492"/>
      <c r="CP613" s="1492"/>
      <c r="CQ613" s="1492"/>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89" t="str">
        <f t="shared" si="17"/>
        <v/>
      </c>
      <c r="DY613" s="1490"/>
      <c r="DZ613" s="1490"/>
      <c r="EA613" s="1490"/>
      <c r="EB613" s="1491"/>
      <c r="EC613" s="1489" t="str">
        <f t="shared" si="18"/>
        <v/>
      </c>
      <c r="ED613" s="1490"/>
      <c r="EE613" s="1490"/>
      <c r="EF613" s="1490"/>
      <c r="EG613" s="1491"/>
      <c r="EH613" s="1489" t="str">
        <f t="shared" si="19"/>
        <v/>
      </c>
      <c r="EI613" s="1490"/>
      <c r="EJ613" s="1490"/>
      <c r="EK613" s="1490"/>
      <c r="EL613" s="1491"/>
      <c r="EM613" s="1489" t="str">
        <f t="shared" si="20"/>
        <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9">
        <f t="shared" si="1"/>
        <v>0</v>
      </c>
      <c r="BF614" s="1491"/>
      <c r="BG614" s="1502">
        <f t="shared" si="2"/>
        <v>0</v>
      </c>
      <c r="BH614" s="1503"/>
      <c r="BI614" s="1489">
        <f t="shared" si="3"/>
        <v>0</v>
      </c>
      <c r="BJ614" s="1491"/>
      <c r="BK614" s="1502">
        <f t="shared" si="4"/>
        <v>0</v>
      </c>
      <c r="BL614" s="1503"/>
      <c r="BM614" s="3"/>
      <c r="BN614" s="1493">
        <f t="shared" si="5"/>
        <v>0</v>
      </c>
      <c r="BO614" s="1494"/>
      <c r="BP614" s="1494"/>
      <c r="BQ614" s="1494"/>
      <c r="BR614" s="1495"/>
      <c r="BS614" s="1492">
        <f t="shared" si="6"/>
        <v>0</v>
      </c>
      <c r="BT614" s="1492"/>
      <c r="BU614" s="1492"/>
      <c r="BV614" s="1492"/>
      <c r="BW614" s="1492"/>
      <c r="BX614" s="1492">
        <f t="shared" si="7"/>
        <v>0</v>
      </c>
      <c r="BY614" s="1492"/>
      <c r="BZ614" s="1492"/>
      <c r="CA614" s="1492"/>
      <c r="CB614" s="1492"/>
      <c r="CC614" s="1492">
        <f t="shared" si="8"/>
        <v>0</v>
      </c>
      <c r="CD614" s="1492"/>
      <c r="CE614" s="1492"/>
      <c r="CF614" s="1492"/>
      <c r="CG614" s="1492"/>
      <c r="CH614" s="1492">
        <f t="shared" si="9"/>
        <v>0</v>
      </c>
      <c r="CI614" s="1492"/>
      <c r="CJ614" s="1492"/>
      <c r="CK614" s="1492"/>
      <c r="CL614" s="1492"/>
      <c r="CM614" s="1492">
        <f t="shared" si="10"/>
        <v>0</v>
      </c>
      <c r="CN614" s="1492"/>
      <c r="CO614" s="1492"/>
      <c r="CP614" s="1492"/>
      <c r="CQ614" s="1492"/>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0</v>
      </c>
      <c r="DN614" s="1500"/>
      <c r="DO614" s="1500"/>
      <c r="DP614" s="1500"/>
      <c r="DQ614" s="1500"/>
      <c r="DR614" s="1500">
        <f t="shared" si="16"/>
        <v>0</v>
      </c>
      <c r="DS614" s="1500"/>
      <c r="DT614" s="1500"/>
      <c r="DU614" s="1500"/>
      <c r="DV614" s="1500"/>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t="str">
        <f t="shared" si="20"/>
        <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2.95" customHeight="1">
      <c r="B615" t="s">
        <v>20</v>
      </c>
      <c r="N615" s="1379" t="s">
        <v>675</v>
      </c>
      <c r="O615" s="1379"/>
      <c r="U615" t="s">
        <v>20</v>
      </c>
      <c r="AG615" s="1379" t="s">
        <v>675</v>
      </c>
      <c r="AH615" s="1379"/>
      <c r="AU615" s="934"/>
      <c r="AV615" s="934"/>
      <c r="AW615" s="934"/>
      <c r="AX615" s="934"/>
      <c r="AY615" s="934"/>
      <c r="AZ615" s="3"/>
      <c r="BA615" s="3"/>
      <c r="BB615" s="3"/>
      <c r="BC615" s="3"/>
      <c r="BD615" s="3"/>
      <c r="BE615" s="1489">
        <f t="shared" si="1"/>
        <v>0</v>
      </c>
      <c r="BF615" s="1491"/>
      <c r="BG615" s="1502">
        <f t="shared" si="2"/>
        <v>0</v>
      </c>
      <c r="BH615" s="1503"/>
      <c r="BI615" s="1489">
        <f t="shared" si="3"/>
        <v>0</v>
      </c>
      <c r="BJ615" s="1491"/>
      <c r="BK615" s="1502">
        <f t="shared" si="4"/>
        <v>0</v>
      </c>
      <c r="BL615" s="1503"/>
      <c r="BM615" s="3"/>
      <c r="BN615" s="1493">
        <f t="shared" si="5"/>
        <v>0</v>
      </c>
      <c r="BO615" s="1494"/>
      <c r="BP615" s="1494"/>
      <c r="BQ615" s="1494"/>
      <c r="BR615" s="1495"/>
      <c r="BS615" s="1492">
        <f t="shared" si="6"/>
        <v>0</v>
      </c>
      <c r="BT615" s="1492"/>
      <c r="BU615" s="1492"/>
      <c r="BV615" s="1492"/>
      <c r="BW615" s="1492"/>
      <c r="BX615" s="1492">
        <f t="shared" si="7"/>
        <v>0</v>
      </c>
      <c r="BY615" s="1492"/>
      <c r="BZ615" s="1492"/>
      <c r="CA615" s="1492"/>
      <c r="CB615" s="1492"/>
      <c r="CC615" s="1492">
        <f t="shared" si="8"/>
        <v>0</v>
      </c>
      <c r="CD615" s="1492"/>
      <c r="CE615" s="1492"/>
      <c r="CF615" s="1492"/>
      <c r="CG615" s="1492"/>
      <c r="CH615" s="1492">
        <f t="shared" si="9"/>
        <v>0</v>
      </c>
      <c r="CI615" s="1492"/>
      <c r="CJ615" s="1492"/>
      <c r="CK615" s="1492"/>
      <c r="CL615" s="1492"/>
      <c r="CM615" s="1492">
        <f t="shared" si="10"/>
        <v>0</v>
      </c>
      <c r="CN615" s="1492"/>
      <c r="CO615" s="1492"/>
      <c r="CP615" s="1492"/>
      <c r="CQ615" s="1492"/>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0</v>
      </c>
      <c r="DN615" s="1500"/>
      <c r="DO615" s="1500"/>
      <c r="DP615" s="1500"/>
      <c r="DQ615" s="1500"/>
      <c r="DR615" s="1500">
        <f t="shared" si="16"/>
        <v>0</v>
      </c>
      <c r="DS615" s="1500"/>
      <c r="DT615" s="1500"/>
      <c r="DU615" s="1500"/>
      <c r="DV615" s="1500"/>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2.95" customHeight="1">
      <c r="AZ616" s="3"/>
      <c r="BA616" s="3"/>
      <c r="BB616" s="3"/>
      <c r="BC616" s="3"/>
      <c r="BD616" s="3"/>
      <c r="BE616" s="1489">
        <f t="shared" si="1"/>
        <v>0</v>
      </c>
      <c r="BF616" s="1491"/>
      <c r="BG616" s="1502">
        <f t="shared" si="2"/>
        <v>0</v>
      </c>
      <c r="BH616" s="1503"/>
      <c r="BI616" s="1489">
        <f t="shared" si="3"/>
        <v>0</v>
      </c>
      <c r="BJ616" s="1491"/>
      <c r="BK616" s="1502">
        <f t="shared" si="4"/>
        <v>0</v>
      </c>
      <c r="BL616" s="1503"/>
      <c r="BM616" s="3"/>
      <c r="BN616" s="1493">
        <f t="shared" si="5"/>
        <v>0</v>
      </c>
      <c r="BO616" s="1494"/>
      <c r="BP616" s="1494"/>
      <c r="BQ616" s="1494"/>
      <c r="BR616" s="1495"/>
      <c r="BS616" s="1492">
        <f t="shared" si="6"/>
        <v>0</v>
      </c>
      <c r="BT616" s="1492"/>
      <c r="BU616" s="1492"/>
      <c r="BV616" s="1492"/>
      <c r="BW616" s="1492"/>
      <c r="BX616" s="1492">
        <f t="shared" si="7"/>
        <v>0</v>
      </c>
      <c r="BY616" s="1492"/>
      <c r="BZ616" s="1492"/>
      <c r="CA616" s="1492"/>
      <c r="CB616" s="1492"/>
      <c r="CC616" s="1492">
        <f t="shared" si="8"/>
        <v>0</v>
      </c>
      <c r="CD616" s="1492"/>
      <c r="CE616" s="1492"/>
      <c r="CF616" s="1492"/>
      <c r="CG616" s="1492"/>
      <c r="CH616" s="1492">
        <f t="shared" si="9"/>
        <v>0</v>
      </c>
      <c r="CI616" s="1492"/>
      <c r="CJ616" s="1492"/>
      <c r="CK616" s="1492"/>
      <c r="CL616" s="1492"/>
      <c r="CM616" s="1492">
        <f t="shared" si="10"/>
        <v>0</v>
      </c>
      <c r="CN616" s="1492"/>
      <c r="CO616" s="1492"/>
      <c r="CP616" s="1492"/>
      <c r="CQ616" s="1492"/>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89" t="str">
        <f t="shared" si="17"/>
        <v/>
      </c>
      <c r="DY616" s="1490"/>
      <c r="DZ616" s="1490"/>
      <c r="EA616" s="1490"/>
      <c r="EB616" s="1491"/>
      <c r="EC616" s="1489" t="str">
        <f t="shared" si="18"/>
        <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9">
        <f t="shared" si="1"/>
        <v>0</v>
      </c>
      <c r="BF617" s="1491"/>
      <c r="BG617" s="1502">
        <f t="shared" si="2"/>
        <v>0</v>
      </c>
      <c r="BH617" s="1503"/>
      <c r="BI617" s="1489">
        <f t="shared" si="3"/>
        <v>0</v>
      </c>
      <c r="BJ617" s="1491"/>
      <c r="BK617" s="1502">
        <f t="shared" si="4"/>
        <v>0</v>
      </c>
      <c r="BL617" s="1503"/>
      <c r="BM617" s="3"/>
      <c r="BN617" s="1493">
        <f t="shared" si="5"/>
        <v>0</v>
      </c>
      <c r="BO617" s="1494"/>
      <c r="BP617" s="1494"/>
      <c r="BQ617" s="1494"/>
      <c r="BR617" s="1495"/>
      <c r="BS617" s="1492">
        <f t="shared" si="6"/>
        <v>0</v>
      </c>
      <c r="BT617" s="1492"/>
      <c r="BU617" s="1492"/>
      <c r="BV617" s="1492"/>
      <c r="BW617" s="1492"/>
      <c r="BX617" s="1492">
        <f t="shared" si="7"/>
        <v>0</v>
      </c>
      <c r="BY617" s="1492"/>
      <c r="BZ617" s="1492"/>
      <c r="CA617" s="1492"/>
      <c r="CB617" s="1492"/>
      <c r="CC617" s="1492">
        <f t="shared" si="8"/>
        <v>0</v>
      </c>
      <c r="CD617" s="1492"/>
      <c r="CE617" s="1492"/>
      <c r="CF617" s="1492"/>
      <c r="CG617" s="1492"/>
      <c r="CH617" s="1492">
        <f t="shared" si="9"/>
        <v>0</v>
      </c>
      <c r="CI617" s="1492"/>
      <c r="CJ617" s="1492"/>
      <c r="CK617" s="1492"/>
      <c r="CL617" s="1492"/>
      <c r="CM617" s="1492">
        <f t="shared" si="10"/>
        <v>0</v>
      </c>
      <c r="CN617" s="1492"/>
      <c r="CO617" s="1492"/>
      <c r="CP617" s="1492"/>
      <c r="CQ617" s="1492"/>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t="str">
        <f t="shared" si="20"/>
        <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9">
        <f t="shared" si="1"/>
        <v>0</v>
      </c>
      <c r="BF618" s="1491"/>
      <c r="BG618" s="1502">
        <f t="shared" si="2"/>
        <v>0</v>
      </c>
      <c r="BH618" s="1503"/>
      <c r="BI618" s="1489">
        <f t="shared" si="3"/>
        <v>0</v>
      </c>
      <c r="BJ618" s="1491"/>
      <c r="BK618" s="1502">
        <f t="shared" si="4"/>
        <v>0</v>
      </c>
      <c r="BL618" s="1503"/>
      <c r="BM618" s="3"/>
      <c r="BN618" s="1493">
        <f t="shared" si="5"/>
        <v>0</v>
      </c>
      <c r="BO618" s="1494"/>
      <c r="BP618" s="1494"/>
      <c r="BQ618" s="1494"/>
      <c r="BR618" s="1495"/>
      <c r="BS618" s="1492">
        <f t="shared" si="6"/>
        <v>0</v>
      </c>
      <c r="BT618" s="1492"/>
      <c r="BU618" s="1492"/>
      <c r="BV618" s="1492"/>
      <c r="BW618" s="1492"/>
      <c r="BX618" s="1492">
        <f t="shared" si="7"/>
        <v>0</v>
      </c>
      <c r="BY618" s="1492"/>
      <c r="BZ618" s="1492"/>
      <c r="CA618" s="1492"/>
      <c r="CB618" s="1492"/>
      <c r="CC618" s="1492">
        <f t="shared" si="8"/>
        <v>0</v>
      </c>
      <c r="CD618" s="1492"/>
      <c r="CE618" s="1492"/>
      <c r="CF618" s="1492"/>
      <c r="CG618" s="1492"/>
      <c r="CH618" s="1492">
        <f t="shared" si="9"/>
        <v>0</v>
      </c>
      <c r="CI618" s="1492"/>
      <c r="CJ618" s="1492"/>
      <c r="CK618" s="1492"/>
      <c r="CL618" s="1492"/>
      <c r="CM618" s="1492">
        <f t="shared" si="10"/>
        <v>0</v>
      </c>
      <c r="CN618" s="1492"/>
      <c r="CO618" s="1492"/>
      <c r="CP618" s="1492"/>
      <c r="CQ618" s="1492"/>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2.95" customHeight="1">
      <c r="AZ619" s="3"/>
      <c r="BA619" s="3"/>
      <c r="BB619" s="3"/>
      <c r="BC619" s="3"/>
      <c r="BD619" s="3"/>
      <c r="BE619" s="1489">
        <f t="shared" si="1"/>
        <v>0</v>
      </c>
      <c r="BF619" s="1491"/>
      <c r="BG619" s="1502">
        <f t="shared" si="2"/>
        <v>0</v>
      </c>
      <c r="BH619" s="1503"/>
      <c r="BI619" s="1489">
        <f t="shared" si="3"/>
        <v>0</v>
      </c>
      <c r="BJ619" s="1491"/>
      <c r="BK619" s="1502">
        <f t="shared" si="4"/>
        <v>0</v>
      </c>
      <c r="BL619" s="1503"/>
      <c r="BM619" s="3"/>
      <c r="BN619" s="1493">
        <f t="shared" si="5"/>
        <v>0</v>
      </c>
      <c r="BO619" s="1494"/>
      <c r="BP619" s="1494"/>
      <c r="BQ619" s="1494"/>
      <c r="BR619" s="1495"/>
      <c r="BS619" s="1492">
        <f t="shared" si="6"/>
        <v>0</v>
      </c>
      <c r="BT619" s="1492"/>
      <c r="BU619" s="1492"/>
      <c r="BV619" s="1492"/>
      <c r="BW619" s="1492"/>
      <c r="BX619" s="1492">
        <f t="shared" si="7"/>
        <v>0</v>
      </c>
      <c r="BY619" s="1492"/>
      <c r="BZ619" s="1492"/>
      <c r="CA619" s="1492"/>
      <c r="CB619" s="1492"/>
      <c r="CC619" s="1492">
        <f t="shared" si="8"/>
        <v>0</v>
      </c>
      <c r="CD619" s="1492"/>
      <c r="CE619" s="1492"/>
      <c r="CF619" s="1492"/>
      <c r="CG619" s="1492"/>
      <c r="CH619" s="1492">
        <f t="shared" si="9"/>
        <v>0</v>
      </c>
      <c r="CI619" s="1492"/>
      <c r="CJ619" s="1492"/>
      <c r="CK619" s="1492"/>
      <c r="CL619" s="1492"/>
      <c r="CM619" s="1492">
        <f t="shared" si="10"/>
        <v>0</v>
      </c>
      <c r="CN619" s="1492"/>
      <c r="CO619" s="1492"/>
      <c r="CP619" s="1492"/>
      <c r="CQ619" s="1492"/>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89" t="str">
        <f t="shared" si="17"/>
        <v/>
      </c>
      <c r="DY619" s="1490"/>
      <c r="DZ619" s="1490"/>
      <c r="EA619" s="1490"/>
      <c r="EB619" s="1491"/>
      <c r="EC619" s="1489" t="str">
        <f t="shared" si="18"/>
        <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2.95" customHeight="1">
      <c r="A620" s="2" t="s">
        <v>319</v>
      </c>
      <c r="B620" s="2"/>
      <c r="C620" s="2" t="s">
        <v>21</v>
      </c>
      <c r="AZ620" s="3"/>
      <c r="BA620" s="3"/>
      <c r="BB620" s="3"/>
      <c r="BC620" s="3"/>
      <c r="BD620" s="3"/>
      <c r="BE620" s="1489">
        <f t="shared" si="1"/>
        <v>0</v>
      </c>
      <c r="BF620" s="1491"/>
      <c r="BG620" s="1502">
        <f t="shared" si="2"/>
        <v>0</v>
      </c>
      <c r="BH620" s="1503"/>
      <c r="BI620" s="1489">
        <f t="shared" si="3"/>
        <v>0</v>
      </c>
      <c r="BJ620" s="1491"/>
      <c r="BK620" s="1502">
        <f t="shared" si="4"/>
        <v>0</v>
      </c>
      <c r="BL620" s="1503"/>
      <c r="BM620" s="3"/>
      <c r="BN620" s="1493">
        <f t="shared" si="5"/>
        <v>0</v>
      </c>
      <c r="BO620" s="1494"/>
      <c r="BP620" s="1494"/>
      <c r="BQ620" s="1494"/>
      <c r="BR620" s="1495"/>
      <c r="BS620" s="1492">
        <f t="shared" si="6"/>
        <v>0</v>
      </c>
      <c r="BT620" s="1492"/>
      <c r="BU620" s="1492"/>
      <c r="BV620" s="1492"/>
      <c r="BW620" s="1492"/>
      <c r="BX620" s="1492">
        <f t="shared" si="7"/>
        <v>0</v>
      </c>
      <c r="BY620" s="1492"/>
      <c r="BZ620" s="1492"/>
      <c r="CA620" s="1492"/>
      <c r="CB620" s="1492"/>
      <c r="CC620" s="1492">
        <f t="shared" si="8"/>
        <v>0</v>
      </c>
      <c r="CD620" s="1492"/>
      <c r="CE620" s="1492"/>
      <c r="CF620" s="1492"/>
      <c r="CG620" s="1492"/>
      <c r="CH620" s="1492">
        <f t="shared" si="9"/>
        <v>0</v>
      </c>
      <c r="CI620" s="1492"/>
      <c r="CJ620" s="1492"/>
      <c r="CK620" s="1492"/>
      <c r="CL620" s="1492"/>
      <c r="CM620" s="1492">
        <f t="shared" si="10"/>
        <v>0</v>
      </c>
      <c r="CN620" s="1492"/>
      <c r="CO620" s="1492"/>
      <c r="CP620" s="1492"/>
      <c r="CQ620" s="1492"/>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89" t="str">
        <f t="shared" si="17"/>
        <v/>
      </c>
      <c r="DY620" s="1490"/>
      <c r="DZ620" s="1490"/>
      <c r="EA620" s="1490"/>
      <c r="EB620" s="1491"/>
      <c r="EC620" s="1489" t="str">
        <f t="shared" si="18"/>
        <v/>
      </c>
      <c r="ED620" s="1490"/>
      <c r="EE620" s="1490"/>
      <c r="EF620" s="1490"/>
      <c r="EG620" s="1491"/>
      <c r="EH620" s="1489" t="str">
        <f t="shared" si="19"/>
        <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2.95" customHeight="1">
      <c r="A621" s="2"/>
      <c r="B621" s="2"/>
      <c r="C621" s="2"/>
      <c r="AZ621" s="3"/>
      <c r="BA621" s="3"/>
      <c r="BB621" s="3"/>
      <c r="BC621" s="3"/>
      <c r="BD621" s="3"/>
      <c r="BE621" s="1489">
        <f t="shared" si="1"/>
        <v>0</v>
      </c>
      <c r="BF621" s="1491"/>
      <c r="BG621" s="1502">
        <f t="shared" si="2"/>
        <v>0</v>
      </c>
      <c r="BH621" s="1503"/>
      <c r="BI621" s="1489">
        <f t="shared" si="3"/>
        <v>0</v>
      </c>
      <c r="BJ621" s="1491"/>
      <c r="BK621" s="1502">
        <f t="shared" si="4"/>
        <v>0</v>
      </c>
      <c r="BL621" s="1503"/>
      <c r="BM621" s="3"/>
      <c r="BN621" s="1493">
        <f t="shared" si="5"/>
        <v>0</v>
      </c>
      <c r="BO621" s="1494"/>
      <c r="BP621" s="1494"/>
      <c r="BQ621" s="1494"/>
      <c r="BR621" s="1495"/>
      <c r="BS621" s="1492">
        <f t="shared" si="6"/>
        <v>0</v>
      </c>
      <c r="BT621" s="1492"/>
      <c r="BU621" s="1492"/>
      <c r="BV621" s="1492"/>
      <c r="BW621" s="1492"/>
      <c r="BX621" s="1492">
        <f t="shared" si="7"/>
        <v>0</v>
      </c>
      <c r="BY621" s="1492"/>
      <c r="BZ621" s="1492"/>
      <c r="CA621" s="1492"/>
      <c r="CB621" s="1492"/>
      <c r="CC621" s="1492">
        <f t="shared" si="8"/>
        <v>0</v>
      </c>
      <c r="CD621" s="1492"/>
      <c r="CE621" s="1492"/>
      <c r="CF621" s="1492"/>
      <c r="CG621" s="1492"/>
      <c r="CH621" s="1492">
        <f t="shared" si="9"/>
        <v>0</v>
      </c>
      <c r="CI621" s="1492"/>
      <c r="CJ621" s="1492"/>
      <c r="CK621" s="1492"/>
      <c r="CL621" s="1492"/>
      <c r="CM621" s="1492">
        <f t="shared" si="10"/>
        <v>0</v>
      </c>
      <c r="CN621" s="1492"/>
      <c r="CO621" s="1492"/>
      <c r="CP621" s="1492"/>
      <c r="CQ621" s="1492"/>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89" t="str">
        <f t="shared" si="17"/>
        <v/>
      </c>
      <c r="DY621" s="1490"/>
      <c r="DZ621" s="1490"/>
      <c r="EA621" s="1490"/>
      <c r="EB621" s="1491"/>
      <c r="EC621" s="1489" t="str">
        <f t="shared" si="18"/>
        <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2.95" customHeight="1">
      <c r="C622" s="2" t="s">
        <v>2415</v>
      </c>
      <c r="AZ622" s="3"/>
      <c r="BA622" s="3"/>
      <c r="BB622" s="3"/>
      <c r="BC622" s="3"/>
      <c r="BD622" s="3"/>
      <c r="BE622" s="1489">
        <f t="shared" si="1"/>
        <v>0</v>
      </c>
      <c r="BF622" s="1491"/>
      <c r="BG622" s="1502">
        <f t="shared" si="2"/>
        <v>0</v>
      </c>
      <c r="BH622" s="1503"/>
      <c r="BI622" s="1489">
        <f t="shared" si="3"/>
        <v>0</v>
      </c>
      <c r="BJ622" s="1491"/>
      <c r="BK622" s="1502">
        <f t="shared" si="4"/>
        <v>0</v>
      </c>
      <c r="BL622" s="1503"/>
      <c r="BM622" s="3"/>
      <c r="BN622" s="1493">
        <f t="shared" si="5"/>
        <v>0</v>
      </c>
      <c r="BO622" s="1494"/>
      <c r="BP622" s="1494"/>
      <c r="BQ622" s="1494"/>
      <c r="BR622" s="1495"/>
      <c r="BS622" s="1492">
        <f t="shared" si="6"/>
        <v>0</v>
      </c>
      <c r="BT622" s="1492"/>
      <c r="BU622" s="1492"/>
      <c r="BV622" s="1492"/>
      <c r="BW622" s="1492"/>
      <c r="BX622" s="1492">
        <f t="shared" si="7"/>
        <v>0</v>
      </c>
      <c r="BY622" s="1492"/>
      <c r="BZ622" s="1492"/>
      <c r="CA622" s="1492"/>
      <c r="CB622" s="1492"/>
      <c r="CC622" s="1492">
        <f t="shared" si="8"/>
        <v>0</v>
      </c>
      <c r="CD622" s="1492"/>
      <c r="CE622" s="1492"/>
      <c r="CF622" s="1492"/>
      <c r="CG622" s="1492"/>
      <c r="CH622" s="1492">
        <f t="shared" si="9"/>
        <v>0</v>
      </c>
      <c r="CI622" s="1492"/>
      <c r="CJ622" s="1492"/>
      <c r="CK622" s="1492"/>
      <c r="CL622" s="1492"/>
      <c r="CM622" s="1492">
        <f t="shared" si="10"/>
        <v>0</v>
      </c>
      <c r="CN622" s="1492"/>
      <c r="CO622" s="1492"/>
      <c r="CP622" s="1492"/>
      <c r="CQ622" s="1492"/>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t="str">
        <f t="shared" si="20"/>
        <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2.95" customHeight="1">
      <c r="B623" s="546"/>
      <c r="C623" s="2"/>
      <c r="AU623" s="3"/>
      <c r="AZ623" s="3"/>
      <c r="BA623" s="3"/>
      <c r="BB623" s="3"/>
      <c r="BC623" s="3"/>
      <c r="BD623" s="3"/>
      <c r="BE623" s="1489">
        <f t="shared" si="1"/>
        <v>0</v>
      </c>
      <c r="BF623" s="1491"/>
      <c r="BG623" s="1502">
        <f t="shared" si="2"/>
        <v>0</v>
      </c>
      <c r="BH623" s="1503"/>
      <c r="BI623" s="1489">
        <f t="shared" si="3"/>
        <v>0</v>
      </c>
      <c r="BJ623" s="1491"/>
      <c r="BK623" s="1502">
        <f t="shared" si="4"/>
        <v>0</v>
      </c>
      <c r="BL623" s="1503"/>
      <c r="BM623" s="3"/>
      <c r="BN623" s="1493">
        <f t="shared" si="5"/>
        <v>0</v>
      </c>
      <c r="BO623" s="1494"/>
      <c r="BP623" s="1494"/>
      <c r="BQ623" s="1494"/>
      <c r="BR623" s="1495"/>
      <c r="BS623" s="1492">
        <f t="shared" si="6"/>
        <v>0</v>
      </c>
      <c r="BT623" s="1492"/>
      <c r="BU623" s="1492"/>
      <c r="BV623" s="1492"/>
      <c r="BW623" s="1492"/>
      <c r="BX623" s="1492">
        <f t="shared" si="7"/>
        <v>0</v>
      </c>
      <c r="BY623" s="1492"/>
      <c r="BZ623" s="1492"/>
      <c r="CA623" s="1492"/>
      <c r="CB623" s="1492"/>
      <c r="CC623" s="1492">
        <f t="shared" si="8"/>
        <v>0</v>
      </c>
      <c r="CD623" s="1492"/>
      <c r="CE623" s="1492"/>
      <c r="CF623" s="1492"/>
      <c r="CG623" s="1492"/>
      <c r="CH623" s="1492">
        <f t="shared" si="9"/>
        <v>0</v>
      </c>
      <c r="CI623" s="1492"/>
      <c r="CJ623" s="1492"/>
      <c r="CK623" s="1492"/>
      <c r="CL623" s="1492"/>
      <c r="CM623" s="1492">
        <f t="shared" si="10"/>
        <v>0</v>
      </c>
      <c r="CN623" s="1492"/>
      <c r="CO623" s="1492"/>
      <c r="CP623" s="1492"/>
      <c r="CQ623" s="1492"/>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2.95" customHeight="1">
      <c r="B624" s="1761" t="s">
        <v>2417</v>
      </c>
      <c r="C624" s="1761"/>
      <c r="D624" s="1761"/>
      <c r="E624" s="1761"/>
      <c r="F624" s="1761"/>
      <c r="G624" s="1761"/>
      <c r="H624" s="1761"/>
      <c r="I624" s="1761"/>
      <c r="J624" s="1761"/>
      <c r="K624" s="1761"/>
      <c r="L624" s="1761"/>
      <c r="M624" s="1501" t="s">
        <v>2418</v>
      </c>
      <c r="N624" s="1501"/>
      <c r="O624" s="1501"/>
      <c r="P624" s="1501"/>
      <c r="Q624" s="1501" t="s">
        <v>2039</v>
      </c>
      <c r="R624" s="1501"/>
      <c r="S624" s="1501"/>
      <c r="T624" s="1501" t="s">
        <v>2037</v>
      </c>
      <c r="U624" s="1501"/>
      <c r="V624" s="1501"/>
      <c r="W624" s="1458" t="s">
        <v>460</v>
      </c>
      <c r="X624" s="1458"/>
      <c r="Y624" s="1458"/>
      <c r="Z624" s="1507" t="s">
        <v>2447</v>
      </c>
      <c r="AA624" s="1507"/>
      <c r="AB624" s="1508"/>
      <c r="AC624" s="1703" t="s">
        <v>1860</v>
      </c>
      <c r="AD624" s="1704"/>
      <c r="AE624" s="1705"/>
      <c r="AF624" s="1699" t="s">
        <v>2226</v>
      </c>
      <c r="AG624" s="1507"/>
      <c r="AH624" s="1507"/>
      <c r="AI624" s="1507"/>
      <c r="AJ624" s="1508"/>
      <c r="AK624" s="1476" t="s">
        <v>2227</v>
      </c>
      <c r="AL624" s="1477"/>
      <c r="AM624" s="1477"/>
      <c r="AN624" s="1478"/>
      <c r="AO624" s="1501" t="s">
        <v>461</v>
      </c>
      <c r="AP624" s="1501"/>
      <c r="AQ624" s="1501"/>
      <c r="AR624" s="1501"/>
      <c r="AS624" s="1501"/>
      <c r="AU624" s="3"/>
      <c r="AZ624" s="3"/>
      <c r="BA624" s="3"/>
      <c r="BB624" s="3"/>
      <c r="BC624" s="3"/>
      <c r="BD624" s="3"/>
      <c r="BE624" s="1489">
        <f t="shared" si="1"/>
        <v>0</v>
      </c>
      <c r="BF624" s="1491"/>
      <c r="BG624" s="1502">
        <f t="shared" si="2"/>
        <v>0</v>
      </c>
      <c r="BH624" s="1503"/>
      <c r="BI624" s="1489">
        <f t="shared" si="3"/>
        <v>0</v>
      </c>
      <c r="BJ624" s="1491"/>
      <c r="BK624" s="1502">
        <f t="shared" si="4"/>
        <v>0</v>
      </c>
      <c r="BL624" s="1503"/>
      <c r="BM624" s="3"/>
      <c r="BN624" s="1493">
        <f t="shared" si="5"/>
        <v>0</v>
      </c>
      <c r="BO624" s="1494"/>
      <c r="BP624" s="1494"/>
      <c r="BQ624" s="1494"/>
      <c r="BR624" s="1495"/>
      <c r="BS624" s="1492">
        <f t="shared" si="6"/>
        <v>0</v>
      </c>
      <c r="BT624" s="1492"/>
      <c r="BU624" s="1492"/>
      <c r="BV624" s="1492"/>
      <c r="BW624" s="1492"/>
      <c r="BX624" s="1492">
        <f t="shared" si="7"/>
        <v>0</v>
      </c>
      <c r="BY624" s="1492"/>
      <c r="BZ624" s="1492"/>
      <c r="CA624" s="1492"/>
      <c r="CB624" s="1492"/>
      <c r="CC624" s="1492">
        <f t="shared" si="8"/>
        <v>0</v>
      </c>
      <c r="CD624" s="1492"/>
      <c r="CE624" s="1492"/>
      <c r="CF624" s="1492"/>
      <c r="CG624" s="1492"/>
      <c r="CH624" s="1492">
        <f t="shared" si="9"/>
        <v>0</v>
      </c>
      <c r="CI624" s="1492"/>
      <c r="CJ624" s="1492"/>
      <c r="CK624" s="1492"/>
      <c r="CL624" s="1492"/>
      <c r="CM624" s="1492">
        <f t="shared" si="10"/>
        <v>0</v>
      </c>
      <c r="CN624" s="1492"/>
      <c r="CO624" s="1492"/>
      <c r="CP624" s="1492"/>
      <c r="CQ624" s="1492"/>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2.95" customHeight="1">
      <c r="B625" s="1761"/>
      <c r="C625" s="1761"/>
      <c r="D625" s="1761"/>
      <c r="E625" s="1761"/>
      <c r="F625" s="1761"/>
      <c r="G625" s="1761"/>
      <c r="H625" s="1761"/>
      <c r="I625" s="1761"/>
      <c r="J625" s="1761"/>
      <c r="K625" s="1761"/>
      <c r="L625" s="1761"/>
      <c r="M625" s="1501"/>
      <c r="N625" s="1501"/>
      <c r="O625" s="1501"/>
      <c r="P625" s="1501"/>
      <c r="Q625" s="1501"/>
      <c r="R625" s="1501"/>
      <c r="S625" s="1501"/>
      <c r="T625" s="1501"/>
      <c r="U625" s="1501"/>
      <c r="V625" s="1501"/>
      <c r="W625" s="1458"/>
      <c r="X625" s="1458"/>
      <c r="Y625" s="1458"/>
      <c r="Z625" s="1509"/>
      <c r="AA625" s="1509"/>
      <c r="AB625" s="1510"/>
      <c r="AC625" s="1706"/>
      <c r="AD625" s="1707"/>
      <c r="AE625" s="1708"/>
      <c r="AF625" s="1700"/>
      <c r="AG625" s="1509"/>
      <c r="AH625" s="1509"/>
      <c r="AI625" s="1509"/>
      <c r="AJ625" s="1510"/>
      <c r="AK625" s="1479"/>
      <c r="AL625" s="1480"/>
      <c r="AM625" s="1480"/>
      <c r="AN625" s="1481"/>
      <c r="AO625" s="1501"/>
      <c r="AP625" s="1501"/>
      <c r="AQ625" s="1501"/>
      <c r="AR625" s="1501"/>
      <c r="AS625" s="1501"/>
      <c r="AU625" s="3"/>
      <c r="AZ625" s="3"/>
      <c r="BA625" s="3"/>
      <c r="BB625" s="3"/>
      <c r="BC625" s="3"/>
      <c r="BD625" s="3"/>
      <c r="BE625" s="1489">
        <f t="shared" si="1"/>
        <v>0</v>
      </c>
      <c r="BF625" s="1491"/>
      <c r="BG625" s="1502">
        <f t="shared" si="2"/>
        <v>0</v>
      </c>
      <c r="BH625" s="1503"/>
      <c r="BI625" s="1489">
        <f t="shared" si="3"/>
        <v>0</v>
      </c>
      <c r="BJ625" s="1491"/>
      <c r="BK625" s="1502">
        <f t="shared" si="4"/>
        <v>0</v>
      </c>
      <c r="BL625" s="1503"/>
      <c r="BM625" s="3"/>
      <c r="BN625" s="1493">
        <f t="shared" si="5"/>
        <v>0</v>
      </c>
      <c r="BO625" s="1494"/>
      <c r="BP625" s="1494"/>
      <c r="BQ625" s="1494"/>
      <c r="BR625" s="1495"/>
      <c r="BS625" s="1492">
        <f t="shared" si="6"/>
        <v>0</v>
      </c>
      <c r="BT625" s="1492"/>
      <c r="BU625" s="1492"/>
      <c r="BV625" s="1492"/>
      <c r="BW625" s="1492"/>
      <c r="BX625" s="1492">
        <f t="shared" si="7"/>
        <v>0</v>
      </c>
      <c r="BY625" s="1492"/>
      <c r="BZ625" s="1492"/>
      <c r="CA625" s="1492"/>
      <c r="CB625" s="1492"/>
      <c r="CC625" s="1492">
        <f t="shared" si="8"/>
        <v>0</v>
      </c>
      <c r="CD625" s="1492"/>
      <c r="CE625" s="1492"/>
      <c r="CF625" s="1492"/>
      <c r="CG625" s="1492"/>
      <c r="CH625" s="1492">
        <f t="shared" si="9"/>
        <v>0</v>
      </c>
      <c r="CI625" s="1492"/>
      <c r="CJ625" s="1492"/>
      <c r="CK625" s="1492"/>
      <c r="CL625" s="1492"/>
      <c r="CM625" s="1492">
        <f t="shared" si="10"/>
        <v>0</v>
      </c>
      <c r="CN625" s="1492"/>
      <c r="CO625" s="1492"/>
      <c r="CP625" s="1492"/>
      <c r="CQ625" s="1492"/>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2.95" customHeight="1">
      <c r="B626" s="1761"/>
      <c r="C626" s="1761"/>
      <c r="D626" s="1761"/>
      <c r="E626" s="1761"/>
      <c r="F626" s="1761"/>
      <c r="G626" s="1761"/>
      <c r="H626" s="1761"/>
      <c r="I626" s="1761"/>
      <c r="J626" s="1761"/>
      <c r="K626" s="1761"/>
      <c r="L626" s="1761"/>
      <c r="M626" s="1501"/>
      <c r="N626" s="1501"/>
      <c r="O626" s="1501"/>
      <c r="P626" s="1501"/>
      <c r="Q626" s="1501"/>
      <c r="R626" s="1501"/>
      <c r="S626" s="1501"/>
      <c r="T626" s="1501"/>
      <c r="U626" s="1501"/>
      <c r="V626" s="1501"/>
      <c r="W626" s="1458"/>
      <c r="X626" s="1458"/>
      <c r="Y626" s="1458"/>
      <c r="Z626" s="1511"/>
      <c r="AA626" s="1511"/>
      <c r="AB626" s="1512"/>
      <c r="AC626" s="1709"/>
      <c r="AD626" s="1710"/>
      <c r="AE626" s="1711"/>
      <c r="AF626" s="1701"/>
      <c r="AG626" s="1511"/>
      <c r="AH626" s="1511"/>
      <c r="AI626" s="1511"/>
      <c r="AJ626" s="1512"/>
      <c r="AK626" s="1482"/>
      <c r="AL626" s="1483"/>
      <c r="AM626" s="1483"/>
      <c r="AN626" s="1484"/>
      <c r="AO626" s="1501"/>
      <c r="AP626" s="1501"/>
      <c r="AQ626" s="1501"/>
      <c r="AR626" s="1501"/>
      <c r="AS626" s="1501"/>
      <c r="AT626" s="3"/>
      <c r="AU626" s="3"/>
      <c r="AZ626" s="3"/>
      <c r="BA626" s="3"/>
      <c r="BB626" s="3"/>
      <c r="BC626" s="3"/>
      <c r="BD626" s="3"/>
      <c r="BE626" s="1489">
        <f t="shared" si="1"/>
        <v>0</v>
      </c>
      <c r="BF626" s="1491"/>
      <c r="BG626" s="1502">
        <f t="shared" si="2"/>
        <v>0</v>
      </c>
      <c r="BH626" s="1503"/>
      <c r="BI626" s="1489">
        <f t="shared" si="3"/>
        <v>0</v>
      </c>
      <c r="BJ626" s="1491"/>
      <c r="BK626" s="1502">
        <f t="shared" si="4"/>
        <v>0</v>
      </c>
      <c r="BL626" s="1503"/>
      <c r="BM626" s="3"/>
      <c r="BN626" s="1493">
        <f t="shared" si="5"/>
        <v>0</v>
      </c>
      <c r="BO626" s="1494"/>
      <c r="BP626" s="1494"/>
      <c r="BQ626" s="1494"/>
      <c r="BR626" s="1495"/>
      <c r="BS626" s="1492">
        <f t="shared" si="6"/>
        <v>0</v>
      </c>
      <c r="BT626" s="1492"/>
      <c r="BU626" s="1492"/>
      <c r="BV626" s="1492"/>
      <c r="BW626" s="1492"/>
      <c r="BX626" s="1492">
        <f t="shared" si="7"/>
        <v>0</v>
      </c>
      <c r="BY626" s="1492"/>
      <c r="BZ626" s="1492"/>
      <c r="CA626" s="1492"/>
      <c r="CB626" s="1492"/>
      <c r="CC626" s="1492">
        <f t="shared" si="8"/>
        <v>0</v>
      </c>
      <c r="CD626" s="1492"/>
      <c r="CE626" s="1492"/>
      <c r="CF626" s="1492"/>
      <c r="CG626" s="1492"/>
      <c r="CH626" s="1492">
        <f t="shared" si="9"/>
        <v>0</v>
      </c>
      <c r="CI626" s="1492"/>
      <c r="CJ626" s="1492"/>
      <c r="CK626" s="1492"/>
      <c r="CL626" s="1492"/>
      <c r="CM626" s="1492">
        <f t="shared" si="10"/>
        <v>0</v>
      </c>
      <c r="CN626" s="1492"/>
      <c r="CO626" s="1492"/>
      <c r="CP626" s="1492"/>
      <c r="CQ626" s="1492"/>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2.95" customHeight="1">
      <c r="B627" s="51" t="s">
        <v>112</v>
      </c>
      <c r="C627" s="1698" t="s">
        <v>2715</v>
      </c>
      <c r="D627" s="1698"/>
      <c r="E627" s="1698"/>
      <c r="F627" s="1698"/>
      <c r="G627" s="1698"/>
      <c r="H627" s="1698"/>
      <c r="I627" s="1698"/>
      <c r="J627" s="1698"/>
      <c r="K627" s="1698"/>
      <c r="L627" s="1698"/>
      <c r="M627" s="1457" t="s">
        <v>2434</v>
      </c>
      <c r="N627" s="1457"/>
      <c r="O627" s="1457"/>
      <c r="P627" s="1457"/>
      <c r="Q627" s="1460">
        <v>360</v>
      </c>
      <c r="R627" s="1460"/>
      <c r="S627" s="1461"/>
      <c r="T627" s="1459">
        <v>480</v>
      </c>
      <c r="U627" s="1460"/>
      <c r="V627" s="1461"/>
      <c r="W627" s="1447">
        <v>0.06</v>
      </c>
      <c r="X627" s="1448"/>
      <c r="Y627" s="1449"/>
      <c r="Z627" s="1504" t="s">
        <v>2446</v>
      </c>
      <c r="AA627" s="1505"/>
      <c r="AB627" s="1506"/>
      <c r="AC627" s="1435">
        <v>1</v>
      </c>
      <c r="AD627" s="1436"/>
      <c r="AE627" s="1437"/>
      <c r="AF627" s="1473">
        <v>4687824</v>
      </c>
      <c r="AG627" s="1474"/>
      <c r="AH627" s="1474"/>
      <c r="AI627" s="1474"/>
      <c r="AJ627" s="1475"/>
      <c r="AK627" s="1462"/>
      <c r="AL627" s="1463"/>
      <c r="AM627" s="1463"/>
      <c r="AN627" s="1464"/>
      <c r="AO627" s="1555">
        <v>71000000</v>
      </c>
      <c r="AP627" s="1555"/>
      <c r="AQ627" s="1555"/>
      <c r="AR627" s="1555"/>
      <c r="AS627" s="1555"/>
      <c r="AT627" s="3"/>
      <c r="AU627" s="3"/>
      <c r="AZ627" s="3"/>
      <c r="BA627" s="3"/>
      <c r="BB627" s="3"/>
      <c r="BC627" s="3"/>
      <c r="BD627" s="3"/>
      <c r="BE627" s="1489">
        <f t="shared" si="1"/>
        <v>0</v>
      </c>
      <c r="BF627" s="1491"/>
      <c r="BG627" s="1502">
        <f t="shared" si="2"/>
        <v>0</v>
      </c>
      <c r="BH627" s="1503"/>
      <c r="BI627" s="1489">
        <f t="shared" si="3"/>
        <v>0</v>
      </c>
      <c r="BJ627" s="1491"/>
      <c r="BK627" s="1502">
        <f t="shared" si="4"/>
        <v>0</v>
      </c>
      <c r="BL627" s="1503"/>
      <c r="BM627" s="3"/>
      <c r="BN627" s="1493">
        <f t="shared" si="5"/>
        <v>0</v>
      </c>
      <c r="BO627" s="1494"/>
      <c r="BP627" s="1494"/>
      <c r="BQ627" s="1494"/>
      <c r="BR627" s="1495"/>
      <c r="BS627" s="1492">
        <f t="shared" si="6"/>
        <v>0</v>
      </c>
      <c r="BT627" s="1492"/>
      <c r="BU627" s="1492"/>
      <c r="BV627" s="1492"/>
      <c r="BW627" s="1492"/>
      <c r="BX627" s="1492">
        <f t="shared" si="7"/>
        <v>0</v>
      </c>
      <c r="BY627" s="1492"/>
      <c r="BZ627" s="1492"/>
      <c r="CA627" s="1492"/>
      <c r="CB627" s="1492"/>
      <c r="CC627" s="1492">
        <f t="shared" si="8"/>
        <v>0</v>
      </c>
      <c r="CD627" s="1492"/>
      <c r="CE627" s="1492"/>
      <c r="CF627" s="1492"/>
      <c r="CG627" s="1492"/>
      <c r="CH627" s="1492">
        <f t="shared" si="9"/>
        <v>0</v>
      </c>
      <c r="CI627" s="1492"/>
      <c r="CJ627" s="1492"/>
      <c r="CK627" s="1492"/>
      <c r="CL627" s="1492"/>
      <c r="CM627" s="1492">
        <f t="shared" si="10"/>
        <v>0</v>
      </c>
      <c r="CN627" s="1492"/>
      <c r="CO627" s="1492"/>
      <c r="CP627" s="1492"/>
      <c r="CQ627" s="1492"/>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2.95" customHeight="1">
      <c r="B628" s="52" t="s">
        <v>113</v>
      </c>
      <c r="C628" s="1698" t="s">
        <v>2717</v>
      </c>
      <c r="D628" s="1698"/>
      <c r="E628" s="1698"/>
      <c r="F628" s="1698"/>
      <c r="G628" s="1698"/>
      <c r="H628" s="1698"/>
      <c r="I628" s="1698"/>
      <c r="J628" s="1698"/>
      <c r="K628" s="1698"/>
      <c r="L628" s="1698"/>
      <c r="M628" s="1457" t="s">
        <v>2435</v>
      </c>
      <c r="N628" s="1457"/>
      <c r="O628" s="1457"/>
      <c r="P628" s="1457"/>
      <c r="Q628" s="1459">
        <v>360</v>
      </c>
      <c r="R628" s="1460"/>
      <c r="S628" s="1461"/>
      <c r="T628" s="1459"/>
      <c r="U628" s="1460"/>
      <c r="V628" s="1461"/>
      <c r="W628" s="1447">
        <v>0.05</v>
      </c>
      <c r="X628" s="1448"/>
      <c r="Y628" s="1449"/>
      <c r="Z628" s="1504" t="s">
        <v>464</v>
      </c>
      <c r="AA628" s="1505"/>
      <c r="AB628" s="1506"/>
      <c r="AC628" s="1435">
        <v>2</v>
      </c>
      <c r="AD628" s="1436"/>
      <c r="AE628" s="1437"/>
      <c r="AF628" s="1473"/>
      <c r="AG628" s="1474"/>
      <c r="AH628" s="1474"/>
      <c r="AI628" s="1474"/>
      <c r="AJ628" s="1475"/>
      <c r="AK628" s="1462"/>
      <c r="AL628" s="1463"/>
      <c r="AM628" s="1463"/>
      <c r="AN628" s="1464"/>
      <c r="AO628" s="1513">
        <v>44000000</v>
      </c>
      <c r="AP628" s="1514"/>
      <c r="AQ628" s="1514"/>
      <c r="AR628" s="1514"/>
      <c r="AS628" s="1515"/>
      <c r="AT628" s="1192" t="str">
        <f>IF(AND(NOT(C627=""),C628="",NOT(C629="")),"!","")</f>
        <v/>
      </c>
      <c r="AU628" s="3"/>
      <c r="AZ628" s="3"/>
      <c r="BA628" s="3"/>
      <c r="BB628" s="3"/>
      <c r="BC628" s="3"/>
      <c r="BD628" s="3"/>
      <c r="BE628" s="1489">
        <f t="shared" si="1"/>
        <v>0</v>
      </c>
      <c r="BF628" s="1491"/>
      <c r="BG628" s="1502">
        <f t="shared" si="2"/>
        <v>0</v>
      </c>
      <c r="BH628" s="1503"/>
      <c r="BI628" s="1489">
        <f t="shared" si="3"/>
        <v>0</v>
      </c>
      <c r="BJ628" s="1491"/>
      <c r="BK628" s="1502">
        <f t="shared" si="4"/>
        <v>0</v>
      </c>
      <c r="BL628" s="1503"/>
      <c r="BM628" s="3"/>
      <c r="BN628" s="1493">
        <f t="shared" si="5"/>
        <v>0</v>
      </c>
      <c r="BO628" s="1494"/>
      <c r="BP628" s="1494"/>
      <c r="BQ628" s="1494"/>
      <c r="BR628" s="1495"/>
      <c r="BS628" s="1492">
        <f t="shared" si="6"/>
        <v>0</v>
      </c>
      <c r="BT628" s="1492"/>
      <c r="BU628" s="1492"/>
      <c r="BV628" s="1492"/>
      <c r="BW628" s="1492"/>
      <c r="BX628" s="1492">
        <f t="shared" si="7"/>
        <v>0</v>
      </c>
      <c r="BY628" s="1492"/>
      <c r="BZ628" s="1492"/>
      <c r="CA628" s="1492"/>
      <c r="CB628" s="1492"/>
      <c r="CC628" s="1492">
        <f t="shared" si="8"/>
        <v>0</v>
      </c>
      <c r="CD628" s="1492"/>
      <c r="CE628" s="1492"/>
      <c r="CF628" s="1492"/>
      <c r="CG628" s="1492"/>
      <c r="CH628" s="1492">
        <f t="shared" si="9"/>
        <v>0</v>
      </c>
      <c r="CI628" s="1492"/>
      <c r="CJ628" s="1492"/>
      <c r="CK628" s="1492"/>
      <c r="CL628" s="1492"/>
      <c r="CM628" s="1492">
        <f t="shared" si="10"/>
        <v>0</v>
      </c>
      <c r="CN628" s="1492"/>
      <c r="CO628" s="1492"/>
      <c r="CP628" s="1492"/>
      <c r="CQ628" s="1492"/>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2.95" customHeight="1">
      <c r="B629" s="52" t="s">
        <v>119</v>
      </c>
      <c r="C629" s="1698" t="s">
        <v>2660</v>
      </c>
      <c r="D629" s="1698"/>
      <c r="E629" s="1698"/>
      <c r="F629" s="1698"/>
      <c r="G629" s="1698"/>
      <c r="H629" s="1698"/>
      <c r="I629" s="1698"/>
      <c r="J629" s="1698"/>
      <c r="K629" s="1698"/>
      <c r="L629" s="1698"/>
      <c r="M629" s="1457" t="s">
        <v>2421</v>
      </c>
      <c r="N629" s="1457"/>
      <c r="O629" s="1457"/>
      <c r="P629" s="1457"/>
      <c r="Q629" s="1459">
        <v>156</v>
      </c>
      <c r="R629" s="1460"/>
      <c r="S629" s="1461"/>
      <c r="T629" s="1459"/>
      <c r="U629" s="1460"/>
      <c r="V629" s="1461"/>
      <c r="W629" s="1447">
        <v>9.9999999999999995E-8</v>
      </c>
      <c r="X629" s="1448"/>
      <c r="Y629" s="1449"/>
      <c r="Z629" s="1504" t="s">
        <v>464</v>
      </c>
      <c r="AA629" s="1505"/>
      <c r="AB629" s="1506"/>
      <c r="AC629" s="1435"/>
      <c r="AD629" s="1436"/>
      <c r="AE629" s="1437"/>
      <c r="AF629" s="1473"/>
      <c r="AG629" s="1474"/>
      <c r="AH629" s="1474"/>
      <c r="AI629" s="1474"/>
      <c r="AJ629" s="1475"/>
      <c r="AK629" s="1462"/>
      <c r="AL629" s="1463"/>
      <c r="AM629" s="1463"/>
      <c r="AN629" s="1464"/>
      <c r="AO629" s="1513">
        <v>18400000</v>
      </c>
      <c r="AP629" s="1514"/>
      <c r="AQ629" s="1514"/>
      <c r="AR629" s="1514"/>
      <c r="AS629" s="1515"/>
      <c r="AT629" s="1192" t="str">
        <f t="shared" ref="AT629:AT638" si="23">IF(AND(NOT(C628=""),C629="",NOT(C630="")),"!","")</f>
        <v/>
      </c>
      <c r="AU629" s="3"/>
      <c r="AZ629" s="3"/>
      <c r="BA629" s="3"/>
      <c r="BB629" s="3"/>
      <c r="BC629" s="3"/>
      <c r="BD629" s="3"/>
      <c r="BE629" s="1489">
        <f t="shared" si="1"/>
        <v>0</v>
      </c>
      <c r="BF629" s="1491"/>
      <c r="BG629" s="1502">
        <f t="shared" si="2"/>
        <v>0</v>
      </c>
      <c r="BH629" s="1503"/>
      <c r="BI629" s="1489">
        <f t="shared" si="3"/>
        <v>0</v>
      </c>
      <c r="BJ629" s="1491"/>
      <c r="BK629" s="1502">
        <f t="shared" si="4"/>
        <v>0</v>
      </c>
      <c r="BL629" s="1503"/>
      <c r="BM629" s="3"/>
      <c r="BN629" s="1493">
        <f t="shared" si="5"/>
        <v>0</v>
      </c>
      <c r="BO629" s="1494"/>
      <c r="BP629" s="1494"/>
      <c r="BQ629" s="1494"/>
      <c r="BR629" s="1495"/>
      <c r="BS629" s="1492">
        <f t="shared" si="6"/>
        <v>0</v>
      </c>
      <c r="BT629" s="1492"/>
      <c r="BU629" s="1492"/>
      <c r="BV629" s="1492"/>
      <c r="BW629" s="1492"/>
      <c r="BX629" s="1492">
        <f t="shared" si="7"/>
        <v>0</v>
      </c>
      <c r="BY629" s="1492"/>
      <c r="BZ629" s="1492"/>
      <c r="CA629" s="1492"/>
      <c r="CB629" s="1492"/>
      <c r="CC629" s="1492">
        <f t="shared" si="8"/>
        <v>0</v>
      </c>
      <c r="CD629" s="1492"/>
      <c r="CE629" s="1492"/>
      <c r="CF629" s="1492"/>
      <c r="CG629" s="1492"/>
      <c r="CH629" s="1492">
        <f t="shared" si="9"/>
        <v>0</v>
      </c>
      <c r="CI629" s="1492"/>
      <c r="CJ629" s="1492"/>
      <c r="CK629" s="1492"/>
      <c r="CL629" s="1492"/>
      <c r="CM629" s="1492">
        <f t="shared" si="10"/>
        <v>0</v>
      </c>
      <c r="CN629" s="1492"/>
      <c r="CO629" s="1492"/>
      <c r="CP629" s="1492"/>
      <c r="CQ629" s="1492"/>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2.95" customHeight="1">
      <c r="B630" s="52" t="s">
        <v>588</v>
      </c>
      <c r="C630" s="1698"/>
      <c r="D630" s="1378"/>
      <c r="E630" s="1378"/>
      <c r="F630" s="1378"/>
      <c r="G630" s="1378"/>
      <c r="H630" s="1378"/>
      <c r="I630" s="1378"/>
      <c r="J630" s="1378"/>
      <c r="K630" s="1378"/>
      <c r="L630" s="1378"/>
      <c r="M630" s="1457"/>
      <c r="N630" s="1457"/>
      <c r="O630" s="1457"/>
      <c r="P630" s="1457"/>
      <c r="Q630" s="1459"/>
      <c r="R630" s="1460"/>
      <c r="S630" s="1461"/>
      <c r="T630" s="1459"/>
      <c r="U630" s="1460"/>
      <c r="V630" s="1461"/>
      <c r="W630" s="1447"/>
      <c r="X630" s="1448"/>
      <c r="Y630" s="1449"/>
      <c r="Z630" s="1504"/>
      <c r="AA630" s="1505"/>
      <c r="AB630" s="1506"/>
      <c r="AC630" s="1435"/>
      <c r="AD630" s="1436"/>
      <c r="AE630" s="1437"/>
      <c r="AF630" s="1473"/>
      <c r="AG630" s="1474"/>
      <c r="AH630" s="1474"/>
      <c r="AI630" s="1474"/>
      <c r="AJ630" s="1475"/>
      <c r="AK630" s="1462"/>
      <c r="AL630" s="1463"/>
      <c r="AM630" s="1463"/>
      <c r="AN630" s="1464"/>
      <c r="AO630" s="1513"/>
      <c r="AP630" s="1514"/>
      <c r="AQ630" s="1514"/>
      <c r="AR630" s="1514"/>
      <c r="AS630" s="1515"/>
      <c r="AT630" s="1192" t="str">
        <f t="shared" si="23"/>
        <v/>
      </c>
      <c r="AU630" s="3"/>
      <c r="AZ630" s="3"/>
      <c r="BA630" s="3"/>
      <c r="BB630" s="3"/>
      <c r="BC630" s="3"/>
      <c r="BD630" s="3"/>
      <c r="BE630" s="1489">
        <f t="shared" si="1"/>
        <v>0</v>
      </c>
      <c r="BF630" s="1491"/>
      <c r="BG630" s="1502">
        <f t="shared" si="2"/>
        <v>0</v>
      </c>
      <c r="BH630" s="1503"/>
      <c r="BI630" s="1489">
        <f t="shared" si="3"/>
        <v>0</v>
      </c>
      <c r="BJ630" s="1491"/>
      <c r="BK630" s="1502">
        <f t="shared" si="4"/>
        <v>0</v>
      </c>
      <c r="BL630" s="1503"/>
      <c r="BM630" s="3"/>
      <c r="BN630" s="1493">
        <f t="shared" si="5"/>
        <v>0</v>
      </c>
      <c r="BO630" s="1494"/>
      <c r="BP630" s="1494"/>
      <c r="BQ630" s="1494"/>
      <c r="BR630" s="1495"/>
      <c r="BS630" s="1492">
        <f t="shared" si="6"/>
        <v>0</v>
      </c>
      <c r="BT630" s="1492"/>
      <c r="BU630" s="1492"/>
      <c r="BV630" s="1492"/>
      <c r="BW630" s="1492"/>
      <c r="BX630" s="1492">
        <f t="shared" si="7"/>
        <v>0</v>
      </c>
      <c r="BY630" s="1492"/>
      <c r="BZ630" s="1492"/>
      <c r="CA630" s="1492"/>
      <c r="CB630" s="1492"/>
      <c r="CC630" s="1492">
        <f t="shared" si="8"/>
        <v>0</v>
      </c>
      <c r="CD630" s="1492"/>
      <c r="CE630" s="1492"/>
      <c r="CF630" s="1492"/>
      <c r="CG630" s="1492"/>
      <c r="CH630" s="1492">
        <f t="shared" si="9"/>
        <v>0</v>
      </c>
      <c r="CI630" s="1492"/>
      <c r="CJ630" s="1492"/>
      <c r="CK630" s="1492"/>
      <c r="CL630" s="1492"/>
      <c r="CM630" s="1492">
        <f t="shared" si="10"/>
        <v>0</v>
      </c>
      <c r="CN630" s="1492"/>
      <c r="CO630" s="1492"/>
      <c r="CP630" s="1492"/>
      <c r="CQ630" s="1492"/>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2.95" customHeight="1">
      <c r="B631" s="52" t="s">
        <v>770</v>
      </c>
      <c r="C631" s="1698"/>
      <c r="D631" s="1378"/>
      <c r="E631" s="1378"/>
      <c r="F631" s="1378"/>
      <c r="G631" s="1378"/>
      <c r="H631" s="1378"/>
      <c r="I631" s="1378"/>
      <c r="J631" s="1378"/>
      <c r="K631" s="1378"/>
      <c r="L631" s="1378"/>
      <c r="M631" s="1457"/>
      <c r="N631" s="1457"/>
      <c r="O631" s="1457"/>
      <c r="P631" s="1457"/>
      <c r="Q631" s="1459"/>
      <c r="R631" s="1460"/>
      <c r="S631" s="1461"/>
      <c r="T631" s="1459"/>
      <c r="U631" s="1460"/>
      <c r="V631" s="1461"/>
      <c r="W631" s="1447"/>
      <c r="X631" s="1448"/>
      <c r="Y631" s="1449"/>
      <c r="Z631" s="1504"/>
      <c r="AA631" s="1505"/>
      <c r="AB631" s="1506"/>
      <c r="AC631" s="1435"/>
      <c r="AD631" s="1436"/>
      <c r="AE631" s="1437"/>
      <c r="AF631" s="1473"/>
      <c r="AG631" s="1474"/>
      <c r="AH631" s="1474"/>
      <c r="AI631" s="1474"/>
      <c r="AJ631" s="1475"/>
      <c r="AK631" s="1462"/>
      <c r="AL631" s="1463"/>
      <c r="AM631" s="1463"/>
      <c r="AN631" s="1464"/>
      <c r="AO631" s="1513"/>
      <c r="AP631" s="1514"/>
      <c r="AQ631" s="1514"/>
      <c r="AR631" s="1514"/>
      <c r="AS631" s="1515"/>
      <c r="AT631" s="1192" t="str">
        <f t="shared" si="23"/>
        <v/>
      </c>
      <c r="AU631" s="3"/>
      <c r="AZ631" s="3"/>
      <c r="BA631" s="3"/>
      <c r="BB631" s="3"/>
      <c r="BC631" s="3"/>
      <c r="BD631" s="3"/>
      <c r="BE631" s="1489">
        <f t="shared" si="1"/>
        <v>0</v>
      </c>
      <c r="BF631" s="1491"/>
      <c r="BG631" s="1502">
        <f t="shared" si="2"/>
        <v>0</v>
      </c>
      <c r="BH631" s="1503"/>
      <c r="BI631" s="1489">
        <f t="shared" si="3"/>
        <v>0</v>
      </c>
      <c r="BJ631" s="1491"/>
      <c r="BK631" s="1502">
        <f t="shared" si="4"/>
        <v>0</v>
      </c>
      <c r="BL631" s="1503"/>
      <c r="BM631" s="3"/>
      <c r="BN631" s="1493">
        <f t="shared" si="5"/>
        <v>0</v>
      </c>
      <c r="BO631" s="1494"/>
      <c r="BP631" s="1494"/>
      <c r="BQ631" s="1494"/>
      <c r="BR631" s="1495"/>
      <c r="BS631" s="1492">
        <f t="shared" si="6"/>
        <v>0</v>
      </c>
      <c r="BT631" s="1492"/>
      <c r="BU631" s="1492"/>
      <c r="BV631" s="1492"/>
      <c r="BW631" s="1492"/>
      <c r="BX631" s="1492">
        <f t="shared" si="7"/>
        <v>0</v>
      </c>
      <c r="BY631" s="1492"/>
      <c r="BZ631" s="1492"/>
      <c r="CA631" s="1492"/>
      <c r="CB631" s="1492"/>
      <c r="CC631" s="1492">
        <f t="shared" si="8"/>
        <v>0</v>
      </c>
      <c r="CD631" s="1492"/>
      <c r="CE631" s="1492"/>
      <c r="CF631" s="1492"/>
      <c r="CG631" s="1492"/>
      <c r="CH631" s="1492">
        <f t="shared" si="9"/>
        <v>0</v>
      </c>
      <c r="CI631" s="1492"/>
      <c r="CJ631" s="1492"/>
      <c r="CK631" s="1492"/>
      <c r="CL631" s="1492"/>
      <c r="CM631" s="1492">
        <f t="shared" si="10"/>
        <v>0</v>
      </c>
      <c r="CN631" s="1492"/>
      <c r="CO631" s="1492"/>
      <c r="CP631" s="1492"/>
      <c r="CQ631" s="1492"/>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2.95" customHeight="1">
      <c r="B632" s="52" t="s">
        <v>591</v>
      </c>
      <c r="C632" s="1698"/>
      <c r="D632" s="1378"/>
      <c r="E632" s="1378"/>
      <c r="F632" s="1378"/>
      <c r="G632" s="1378"/>
      <c r="H632" s="1378"/>
      <c r="I632" s="1378"/>
      <c r="J632" s="1378"/>
      <c r="K632" s="1378"/>
      <c r="L632" s="1378"/>
      <c r="M632" s="1457"/>
      <c r="N632" s="1457"/>
      <c r="O632" s="1457"/>
      <c r="P632" s="1457"/>
      <c r="Q632" s="1459"/>
      <c r="R632" s="1460"/>
      <c r="S632" s="1461"/>
      <c r="T632" s="1459"/>
      <c r="U632" s="1460"/>
      <c r="V632" s="1461"/>
      <c r="W632" s="1447"/>
      <c r="X632" s="1448"/>
      <c r="Y632" s="1449"/>
      <c r="Z632" s="1504"/>
      <c r="AA632" s="1505"/>
      <c r="AB632" s="1506"/>
      <c r="AC632" s="1435"/>
      <c r="AD632" s="1436"/>
      <c r="AE632" s="1437"/>
      <c r="AF632" s="1473"/>
      <c r="AG632" s="1474"/>
      <c r="AH632" s="1474"/>
      <c r="AI632" s="1474"/>
      <c r="AJ632" s="1475"/>
      <c r="AK632" s="1462"/>
      <c r="AL632" s="1463"/>
      <c r="AM632" s="1463"/>
      <c r="AN632" s="1464"/>
      <c r="AO632" s="1513"/>
      <c r="AP632" s="1514"/>
      <c r="AQ632" s="1514"/>
      <c r="AR632" s="1514"/>
      <c r="AS632" s="1515"/>
      <c r="AT632" s="1192" t="str">
        <f t="shared" si="23"/>
        <v/>
      </c>
      <c r="AU632" s="3"/>
      <c r="AZ632" s="3"/>
      <c r="BA632" s="3"/>
      <c r="BB632" s="3"/>
      <c r="BC632" s="3"/>
      <c r="BD632" s="3"/>
      <c r="BE632" s="3"/>
      <c r="BF632" s="3"/>
      <c r="BG632" s="1489">
        <f>SUM(BG597:BH631)</f>
        <v>50</v>
      </c>
      <c r="BH632" s="1491"/>
      <c r="BI632" s="3"/>
      <c r="BJ632" s="3"/>
      <c r="BK632" s="1489">
        <f>SUM(BK597:BL631)</f>
        <v>50</v>
      </c>
      <c r="BL632" s="1491"/>
      <c r="BM632" s="3"/>
      <c r="BN632" s="1489">
        <f>SUM(BN597:BR631)</f>
        <v>0</v>
      </c>
      <c r="BO632" s="1490"/>
      <c r="BP632" s="1490"/>
      <c r="BQ632" s="1490"/>
      <c r="BR632" s="1491"/>
      <c r="BS632" s="1499">
        <f>SUM(BS597:BW631)</f>
        <v>476</v>
      </c>
      <c r="BT632" s="1499"/>
      <c r="BU632" s="1499"/>
      <c r="BV632" s="1499"/>
      <c r="BW632" s="1499"/>
      <c r="BX632" s="1499">
        <f>SUM(BX597:CB631)</f>
        <v>0</v>
      </c>
      <c r="BY632" s="1499"/>
      <c r="BZ632" s="1499"/>
      <c r="CA632" s="1499"/>
      <c r="CB632" s="1499"/>
      <c r="CC632" s="1499">
        <f>SUM(CC597:CG631)</f>
        <v>0</v>
      </c>
      <c r="CD632" s="1499"/>
      <c r="CE632" s="1499"/>
      <c r="CF632" s="1499"/>
      <c r="CG632" s="1499"/>
      <c r="CH632" s="1499">
        <f>SUM(CH597:CL631)</f>
        <v>0</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50</v>
      </c>
      <c r="CY632" s="1499"/>
      <c r="CZ632" s="1499"/>
      <c r="DA632" s="1499"/>
      <c r="DB632" s="1499"/>
      <c r="DC632" s="1499">
        <f>SUM(DC597:DG631)</f>
        <v>0</v>
      </c>
      <c r="DD632" s="1499"/>
      <c r="DE632" s="1499"/>
      <c r="DF632" s="1499"/>
      <c r="DG632" s="1499"/>
      <c r="DH632" s="1499">
        <f>SUM(DH597:DL631)</f>
        <v>0</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5688</v>
      </c>
      <c r="ED632" s="1499"/>
      <c r="EE632" s="1499"/>
      <c r="EF632" s="1499"/>
      <c r="EG632" s="1499"/>
      <c r="EH632" s="1499">
        <f>SUM(EH597:EL631)</f>
        <v>0</v>
      </c>
      <c r="EI632" s="1499"/>
      <c r="EJ632" s="1499"/>
      <c r="EK632" s="1499"/>
      <c r="EL632" s="1499"/>
      <c r="EM632" s="1499">
        <f>SUM(EM597:EQ631)</f>
        <v>0</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2.95" customHeight="1">
      <c r="B633" s="52" t="s">
        <v>462</v>
      </c>
      <c r="C633" s="1698"/>
      <c r="D633" s="1378"/>
      <c r="E633" s="1378"/>
      <c r="F633" s="1378"/>
      <c r="G633" s="1378"/>
      <c r="H633" s="1378"/>
      <c r="I633" s="1378"/>
      <c r="J633" s="1378"/>
      <c r="K633" s="1378"/>
      <c r="L633" s="1378"/>
      <c r="M633" s="1457"/>
      <c r="N633" s="1457"/>
      <c r="O633" s="1457"/>
      <c r="P633" s="1457"/>
      <c r="Q633" s="1459"/>
      <c r="R633" s="1460"/>
      <c r="S633" s="1461"/>
      <c r="T633" s="1459"/>
      <c r="U633" s="1460"/>
      <c r="V633" s="1461"/>
      <c r="W633" s="1447"/>
      <c r="X633" s="1448"/>
      <c r="Y633" s="1449"/>
      <c r="Z633" s="1504"/>
      <c r="AA633" s="1505"/>
      <c r="AB633" s="1506"/>
      <c r="AC633" s="1435"/>
      <c r="AD633" s="1436"/>
      <c r="AE633" s="1437"/>
      <c r="AF633" s="1473"/>
      <c r="AG633" s="1474"/>
      <c r="AH633" s="1474"/>
      <c r="AI633" s="1474"/>
      <c r="AJ633" s="1475"/>
      <c r="AK633" s="1462"/>
      <c r="AL633" s="1463"/>
      <c r="AM633" s="1463"/>
      <c r="AN633" s="1464"/>
      <c r="AO633" s="1513"/>
      <c r="AP633" s="1514"/>
      <c r="AQ633" s="1514"/>
      <c r="AR633" s="1514"/>
      <c r="AS633" s="151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489">
        <f>BN632+BS632+BX632+CC632+CH632+CM632</f>
        <v>476</v>
      </c>
      <c r="CN633" s="1490"/>
      <c r="CO633" s="1490"/>
      <c r="CP633" s="1490"/>
      <c r="CQ633" s="1491"/>
      <c r="CR633" s="385"/>
      <c r="CS633" s="3"/>
      <c r="CT633" s="3"/>
      <c r="CU633" s="3"/>
      <c r="CV633" s="3"/>
      <c r="CW633" s="3"/>
      <c r="CX633" s="3"/>
      <c r="CY633" s="3"/>
      <c r="CZ633" s="3"/>
      <c r="DA633" s="3"/>
      <c r="DB633" s="3"/>
      <c r="DC633" s="3"/>
      <c r="DD633" s="3"/>
      <c r="DE633" s="3"/>
      <c r="DF633" s="3"/>
    </row>
    <row r="634" spans="2:157" ht="12.95" customHeight="1">
      <c r="B634" s="52" t="s">
        <v>463</v>
      </c>
      <c r="C634" s="1378"/>
      <c r="D634" s="1378"/>
      <c r="E634" s="1378"/>
      <c r="F634" s="1378"/>
      <c r="G634" s="1378"/>
      <c r="H634" s="1378"/>
      <c r="I634" s="1378"/>
      <c r="J634" s="1378"/>
      <c r="K634" s="1378"/>
      <c r="L634" s="1378"/>
      <c r="M634" s="1457"/>
      <c r="N634" s="1457"/>
      <c r="O634" s="1457"/>
      <c r="P634" s="1457"/>
      <c r="Q634" s="1459"/>
      <c r="R634" s="1460"/>
      <c r="S634" s="1461"/>
      <c r="T634" s="1459"/>
      <c r="U634" s="1460"/>
      <c r="V634" s="1461"/>
      <c r="W634" s="1447"/>
      <c r="X634" s="1448"/>
      <c r="Y634" s="1449"/>
      <c r="Z634" s="1504"/>
      <c r="AA634" s="1505"/>
      <c r="AB634" s="1506"/>
      <c r="AC634" s="1435"/>
      <c r="AD634" s="1436"/>
      <c r="AE634" s="1437"/>
      <c r="AF634" s="1473"/>
      <c r="AG634" s="1474"/>
      <c r="AH634" s="1474"/>
      <c r="AI634" s="1474"/>
      <c r="AJ634" s="1475"/>
      <c r="AK634" s="1462"/>
      <c r="AL634" s="1463"/>
      <c r="AM634" s="1463"/>
      <c r="AN634" s="1464"/>
      <c r="AO634" s="1513"/>
      <c r="AP634" s="1514"/>
      <c r="AQ634" s="1514"/>
      <c r="AR634" s="1514"/>
      <c r="AS634" s="1515"/>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0</v>
      </c>
      <c r="BS634" s="3"/>
      <c r="BT634" s="3"/>
      <c r="BU634" s="3"/>
      <c r="BV634" s="3"/>
      <c r="BW634" s="895">
        <f>BS632*1</f>
        <v>476</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476</v>
      </c>
      <c r="CT634" s="57" t="s">
        <v>2049</v>
      </c>
      <c r="CU634" s="3"/>
      <c r="CV634" s="3"/>
      <c r="CW634" s="3"/>
      <c r="CX634" s="3"/>
      <c r="CY634" s="3"/>
      <c r="CZ634" s="3"/>
      <c r="DA634" s="3"/>
      <c r="DB634" s="3"/>
      <c r="DC634" s="3"/>
      <c r="DD634" s="3"/>
      <c r="DE634" s="3"/>
      <c r="DF634" s="3"/>
    </row>
    <row r="635" spans="2:157" ht="12.95" customHeight="1">
      <c r="B635" s="52" t="s">
        <v>468</v>
      </c>
      <c r="C635" s="1378"/>
      <c r="D635" s="1378"/>
      <c r="E635" s="1378"/>
      <c r="F635" s="1378"/>
      <c r="G635" s="1378"/>
      <c r="H635" s="1378"/>
      <c r="I635" s="1378"/>
      <c r="J635" s="1378"/>
      <c r="K635" s="1378"/>
      <c r="L635" s="1378"/>
      <c r="M635" s="1457"/>
      <c r="N635" s="1457"/>
      <c r="O635" s="1457"/>
      <c r="P635" s="1457"/>
      <c r="Q635" s="1459"/>
      <c r="R635" s="1460"/>
      <c r="S635" s="1461"/>
      <c r="T635" s="1459"/>
      <c r="U635" s="1460"/>
      <c r="V635" s="1461"/>
      <c r="W635" s="1447"/>
      <c r="X635" s="1448"/>
      <c r="Y635" s="1449"/>
      <c r="Z635" s="1504"/>
      <c r="AA635" s="1505"/>
      <c r="AB635" s="1506"/>
      <c r="AC635" s="1435"/>
      <c r="AD635" s="1436"/>
      <c r="AE635" s="1437"/>
      <c r="AF635" s="1473"/>
      <c r="AG635" s="1474"/>
      <c r="AH635" s="1474"/>
      <c r="AI635" s="1474"/>
      <c r="AJ635" s="1475"/>
      <c r="AK635" s="1462"/>
      <c r="AL635" s="1463"/>
      <c r="AM635" s="1463"/>
      <c r="AN635" s="1464"/>
      <c r="AO635" s="1513"/>
      <c r="AP635" s="1514"/>
      <c r="AQ635" s="1514"/>
      <c r="AR635" s="1514"/>
      <c r="AS635" s="1515"/>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f t="shared" ref="EC635:EC657" si="24">EC597*(BS597/$BS$632)</f>
        <v>80.357142857142861</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2.95" customHeight="1">
      <c r="B636" s="52" t="s">
        <v>652</v>
      </c>
      <c r="C636" s="1378"/>
      <c r="D636" s="1378"/>
      <c r="E636" s="1378"/>
      <c r="F636" s="1378"/>
      <c r="G636" s="1378"/>
      <c r="H636" s="1378"/>
      <c r="I636" s="1378"/>
      <c r="J636" s="1378"/>
      <c r="K636" s="1378"/>
      <c r="L636" s="1378"/>
      <c r="M636" s="1457"/>
      <c r="N636" s="1457"/>
      <c r="O636" s="1457"/>
      <c r="P636" s="1457"/>
      <c r="Q636" s="1459"/>
      <c r="R636" s="1460"/>
      <c r="S636" s="1461"/>
      <c r="T636" s="1459"/>
      <c r="U636" s="1460"/>
      <c r="V636" s="1461"/>
      <c r="W636" s="1447"/>
      <c r="X636" s="1448"/>
      <c r="Y636" s="1449"/>
      <c r="Z636" s="1504"/>
      <c r="AA636" s="1505"/>
      <c r="AB636" s="1506"/>
      <c r="AC636" s="1435"/>
      <c r="AD636" s="1436"/>
      <c r="AE636" s="1437"/>
      <c r="AF636" s="1473"/>
      <c r="AG636" s="1474"/>
      <c r="AH636" s="1474"/>
      <c r="AI636" s="1474"/>
      <c r="AJ636" s="1475"/>
      <c r="AK636" s="1462"/>
      <c r="AL636" s="1463"/>
      <c r="AM636" s="1463"/>
      <c r="AN636" s="1464"/>
      <c r="AO636" s="1513"/>
      <c r="AP636" s="1514"/>
      <c r="AQ636" s="1514"/>
      <c r="AR636" s="1514"/>
      <c r="AS636" s="1515"/>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f t="shared" si="24"/>
        <v>141.70168067226891</v>
      </c>
      <c r="ED636" s="1485"/>
      <c r="EE636" s="1485"/>
      <c r="EF636" s="1485"/>
      <c r="EG636" s="1485"/>
      <c r="EH636" s="1485" t="e">
        <f t="shared" si="25"/>
        <v>#VALUE!</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2.95" customHeight="1">
      <c r="B637" s="52" t="s">
        <v>362</v>
      </c>
      <c r="C637" s="1378"/>
      <c r="D637" s="1378"/>
      <c r="E637" s="1378"/>
      <c r="F637" s="1378"/>
      <c r="G637" s="1378"/>
      <c r="H637" s="1378"/>
      <c r="I637" s="1378"/>
      <c r="J637" s="1378"/>
      <c r="K637" s="1378"/>
      <c r="L637" s="1378"/>
      <c r="M637" s="1457"/>
      <c r="N637" s="1457"/>
      <c r="O637" s="1457"/>
      <c r="P637" s="1457"/>
      <c r="Q637" s="1459"/>
      <c r="R637" s="1460"/>
      <c r="S637" s="1461"/>
      <c r="T637" s="1459"/>
      <c r="U637" s="1460"/>
      <c r="V637" s="1461"/>
      <c r="W637" s="1447"/>
      <c r="X637" s="1448"/>
      <c r="Y637" s="1449"/>
      <c r="Z637" s="1504"/>
      <c r="AA637" s="1505"/>
      <c r="AB637" s="1506"/>
      <c r="AC637" s="1435"/>
      <c r="AD637" s="1436"/>
      <c r="AE637" s="1437"/>
      <c r="AF637" s="1473"/>
      <c r="AG637" s="1474"/>
      <c r="AH637" s="1474"/>
      <c r="AI637" s="1474"/>
      <c r="AJ637" s="1475"/>
      <c r="AK637" s="1462"/>
      <c r="AL637" s="1463"/>
      <c r="AM637" s="1463"/>
      <c r="AN637" s="1464"/>
      <c r="AO637" s="1513"/>
      <c r="AP637" s="1514"/>
      <c r="AQ637" s="1514"/>
      <c r="AR637" s="1514"/>
      <c r="AS637" s="1515"/>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493">
        <f>IF(J773="SRO/Studio",O773,0)</f>
        <v>0</v>
      </c>
      <c r="BO637" s="1494"/>
      <c r="BP637" s="1494"/>
      <c r="BQ637" s="1494"/>
      <c r="BR637" s="1495"/>
      <c r="BS637" s="1492">
        <f>IF(J773="1 Bedroom",O773,0)</f>
        <v>0</v>
      </c>
      <c r="BT637" s="1492"/>
      <c r="BU637" s="1492"/>
      <c r="BV637" s="1492"/>
      <c r="BW637" s="1492"/>
      <c r="BX637" s="1492">
        <f>IF(J773="2 Bedrooms",O773,0)</f>
        <v>0</v>
      </c>
      <c r="BY637" s="1492"/>
      <c r="BZ637" s="1492"/>
      <c r="CA637" s="1492"/>
      <c r="CB637" s="1492"/>
      <c r="CC637" s="1492">
        <f>IF(J773="3 Bedrooms",O773,0)</f>
        <v>5</v>
      </c>
      <c r="CD637" s="1492"/>
      <c r="CE637" s="1492"/>
      <c r="CF637" s="1492"/>
      <c r="CG637" s="1492"/>
      <c r="CH637" s="1492">
        <f>IF(J773="4 Bedrooms",O773,0)</f>
        <v>0</v>
      </c>
      <c r="CI637" s="1492"/>
      <c r="CJ637" s="1492"/>
      <c r="CK637" s="1492"/>
      <c r="CL637" s="1492"/>
      <c r="CM637" s="1492">
        <f>IF(J773="5 Bedrooms",O773,0)</f>
        <v>0</v>
      </c>
      <c r="CN637" s="1492"/>
      <c r="CO637" s="1492"/>
      <c r="CP637" s="1492"/>
      <c r="CQ637" s="1492"/>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f t="shared" si="24"/>
        <v>620.54621848739498</v>
      </c>
      <c r="ED637" s="1485"/>
      <c r="EE637" s="1485"/>
      <c r="EF637" s="1485"/>
      <c r="EG637" s="1485"/>
      <c r="EH637" s="1485" t="e">
        <f t="shared" si="25"/>
        <v>#VALUE!</v>
      </c>
      <c r="EI637" s="1485"/>
      <c r="EJ637" s="1485"/>
      <c r="EK637" s="1485"/>
      <c r="EL637" s="1485"/>
      <c r="EM637" s="1485" t="e">
        <f t="shared" si="26"/>
        <v>#VALUE!</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2.95" customHeight="1">
      <c r="B638" s="52" t="s">
        <v>363</v>
      </c>
      <c r="C638" s="1378"/>
      <c r="D638" s="1378"/>
      <c r="E638" s="1378"/>
      <c r="F638" s="1378"/>
      <c r="G638" s="1378"/>
      <c r="H638" s="1378"/>
      <c r="I638" s="1378"/>
      <c r="J638" s="1378"/>
      <c r="K638" s="1378"/>
      <c r="L638" s="1378"/>
      <c r="M638" s="1457"/>
      <c r="N638" s="1457"/>
      <c r="O638" s="1457"/>
      <c r="P638" s="1457"/>
      <c r="Q638" s="1459"/>
      <c r="R638" s="1460"/>
      <c r="S638" s="1461"/>
      <c r="T638" s="1459"/>
      <c r="U638" s="1460"/>
      <c r="V638" s="1461"/>
      <c r="W638" s="1447"/>
      <c r="X638" s="1448"/>
      <c r="Y638" s="1449"/>
      <c r="Z638" s="1504"/>
      <c r="AA638" s="1505"/>
      <c r="AB638" s="1506"/>
      <c r="AC638" s="1435"/>
      <c r="AD638" s="1436"/>
      <c r="AE638" s="1437"/>
      <c r="AF638" s="1473"/>
      <c r="AG638" s="1474"/>
      <c r="AH638" s="1474"/>
      <c r="AI638" s="1474"/>
      <c r="AJ638" s="1475"/>
      <c r="AK638" s="1462"/>
      <c r="AL638" s="1463"/>
      <c r="AM638" s="1463"/>
      <c r="AN638" s="1464"/>
      <c r="AO638" s="1513"/>
      <c r="AP638" s="1514"/>
      <c r="AQ638" s="1514"/>
      <c r="AR638" s="1514"/>
      <c r="AS638" s="1515"/>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93">
        <f>IF(J774="SRO/Studio",O774,0)</f>
        <v>0</v>
      </c>
      <c r="BO638" s="1494"/>
      <c r="BP638" s="1494"/>
      <c r="BQ638" s="1494"/>
      <c r="BR638" s="1495"/>
      <c r="BS638" s="1492">
        <f>IF(J774="1 Bedroom",O774,0)</f>
        <v>0</v>
      </c>
      <c r="BT638" s="1492"/>
      <c r="BU638" s="1492"/>
      <c r="BV638" s="1492"/>
      <c r="BW638" s="1492"/>
      <c r="BX638" s="1492">
        <f>IF(J774="2 Bedrooms",O774,0)</f>
        <v>0</v>
      </c>
      <c r="BY638" s="1492"/>
      <c r="BZ638" s="1492"/>
      <c r="CA638" s="1492"/>
      <c r="CB638" s="1492"/>
      <c r="CC638" s="1492">
        <f>IF(J774="3 Bedrooms",O774,0)</f>
        <v>0</v>
      </c>
      <c r="CD638" s="1492"/>
      <c r="CE638" s="1492"/>
      <c r="CF638" s="1492"/>
      <c r="CG638" s="1492"/>
      <c r="CH638" s="1492">
        <f>IF(J774="4 Bedrooms",O774,0)</f>
        <v>0</v>
      </c>
      <c r="CI638" s="1492"/>
      <c r="CJ638" s="1492"/>
      <c r="CK638" s="1492"/>
      <c r="CL638" s="1492"/>
      <c r="CM638" s="1492">
        <f>IF(J774="5 Bedrooms",O774,0)</f>
        <v>0</v>
      </c>
      <c r="CN638" s="1492"/>
      <c r="CO638" s="1492"/>
      <c r="CP638" s="1492"/>
      <c r="CQ638" s="1492"/>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f t="shared" si="24"/>
        <v>795.94117647058818</v>
      </c>
      <c r="ED638" s="1485"/>
      <c r="EE638" s="1485"/>
      <c r="EF638" s="1485"/>
      <c r="EG638" s="1485"/>
      <c r="EH638" s="1485" t="e">
        <f t="shared" si="25"/>
        <v>#VALUE!</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133400000</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BN639" s="1493">
        <f>IF(J775="SRO/Studio",O775,0)</f>
        <v>0</v>
      </c>
      <c r="BO639" s="1494"/>
      <c r="BP639" s="1494"/>
      <c r="BQ639" s="1494"/>
      <c r="BR639" s="1495"/>
      <c r="BS639" s="1492">
        <f>IF(J775="1 Bedroom",O775,0)</f>
        <v>0</v>
      </c>
      <c r="BT639" s="1492"/>
      <c r="BU639" s="1492"/>
      <c r="BV639" s="1492"/>
      <c r="BW639" s="1492"/>
      <c r="BX639" s="1492">
        <f>IF(J775="2 Bedrooms",O775,0)</f>
        <v>0</v>
      </c>
      <c r="BY639" s="1492"/>
      <c r="BZ639" s="1492"/>
      <c r="CA639" s="1492"/>
      <c r="CB639" s="1492"/>
      <c r="CC639" s="1492">
        <f>IF(J775="3 Bedrooms",O775,0)</f>
        <v>0</v>
      </c>
      <c r="CD639" s="1492"/>
      <c r="CE639" s="1492"/>
      <c r="CF639" s="1492"/>
      <c r="CG639" s="1492"/>
      <c r="CH639" s="1492">
        <f>IF(J775="4 Bedrooms",O775,0)</f>
        <v>0</v>
      </c>
      <c r="CI639" s="1492"/>
      <c r="CJ639" s="1492"/>
      <c r="CK639" s="1492"/>
      <c r="CL639" s="1492"/>
      <c r="CM639" s="1492">
        <f>IF(J775="5 Bedrooms",O775,0)</f>
        <v>0</v>
      </c>
      <c r="CN639" s="1492"/>
      <c r="CO639" s="1492"/>
      <c r="CP639" s="1492"/>
      <c r="CQ639" s="1492"/>
      <c r="CR639" s="1047"/>
      <c r="CV639" s="3"/>
      <c r="CW639" s="3"/>
      <c r="CX639" s="3"/>
      <c r="CY639" s="3"/>
      <c r="CZ639" s="3"/>
      <c r="DA639" s="3"/>
      <c r="DB639" s="3"/>
      <c r="DC639" s="3"/>
      <c r="DD639" s="3"/>
      <c r="DE639" s="3"/>
      <c r="DF639" s="3"/>
      <c r="DX639" s="1485" t="e">
        <f t="shared" si="29"/>
        <v>#VALUE!</v>
      </c>
      <c r="DY639" s="1485"/>
      <c r="DZ639" s="1485"/>
      <c r="EA639" s="1485"/>
      <c r="EB639" s="1485"/>
      <c r="EC639" s="1485" t="e">
        <f t="shared" si="24"/>
        <v>#VALUE!</v>
      </c>
      <c r="ED639" s="1485"/>
      <c r="EE639" s="1485"/>
      <c r="EF639" s="1485"/>
      <c r="EG639" s="1485"/>
      <c r="EH639" s="1485" t="e">
        <f t="shared" si="25"/>
        <v>#VALUE!</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513">
        <v>63370150</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93">
        <f>IF(J776="SRO/Studio",O776,0)</f>
        <v>0</v>
      </c>
      <c r="BO640" s="1494"/>
      <c r="BP640" s="1494"/>
      <c r="BQ640" s="1494"/>
      <c r="BR640" s="1495"/>
      <c r="BS640" s="1492">
        <f>IF(J776="1 Bedroom",O776,0)</f>
        <v>0</v>
      </c>
      <c r="BT640" s="1492"/>
      <c r="BU640" s="1492"/>
      <c r="BV640" s="1492"/>
      <c r="BW640" s="1492"/>
      <c r="BX640" s="1492">
        <f>IF(J776="2 Bedrooms",O776,0)</f>
        <v>0</v>
      </c>
      <c r="BY640" s="1492"/>
      <c r="BZ640" s="1492"/>
      <c r="CA640" s="1492"/>
      <c r="CB640" s="1492"/>
      <c r="CC640" s="1492">
        <f>IF(J776="3 Bedrooms",O776,0)</f>
        <v>0</v>
      </c>
      <c r="CD640" s="1492"/>
      <c r="CE640" s="1492"/>
      <c r="CF640" s="1492"/>
      <c r="CG640" s="1492"/>
      <c r="CH640" s="1492">
        <f>IF(J776="4 Bedrooms",O776,0)</f>
        <v>0</v>
      </c>
      <c r="CI640" s="1492"/>
      <c r="CJ640" s="1492"/>
      <c r="CK640" s="1492"/>
      <c r="CL640" s="1492"/>
      <c r="CM640" s="1492">
        <f>IF(J776="5 Bedrooms",O776,0)</f>
        <v>0</v>
      </c>
      <c r="CN640" s="1492"/>
      <c r="CO640" s="1492"/>
      <c r="CP640" s="1492"/>
      <c r="CQ640" s="1492"/>
      <c r="CV640" s="3"/>
      <c r="CW640" s="3"/>
      <c r="CX640" s="3"/>
      <c r="CY640" s="3"/>
      <c r="CZ640" s="3"/>
      <c r="DA640" s="3"/>
      <c r="DB640" s="3"/>
      <c r="DC640" s="3"/>
      <c r="DD640" s="3"/>
      <c r="DE640" s="3"/>
      <c r="DF640" s="3"/>
      <c r="DX640" s="1485" t="e">
        <f t="shared" si="29"/>
        <v>#VALUE!</v>
      </c>
      <c r="DY640" s="1485"/>
      <c r="DZ640" s="1485"/>
      <c r="EA640" s="1485"/>
      <c r="EB640" s="1485"/>
      <c r="EC640" s="1485" t="e">
        <f t="shared" si="24"/>
        <v>#VALUE!</v>
      </c>
      <c r="ED640" s="1485"/>
      <c r="EE640" s="1485"/>
      <c r="EF640" s="1485"/>
      <c r="EG640" s="1485"/>
      <c r="EH640" s="1485" t="e">
        <f t="shared" si="25"/>
        <v>#VALUE!</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2.95" customHeight="1">
      <c r="B641" s="1453" t="s">
        <v>268</v>
      </c>
      <c r="C641" s="1454"/>
      <c r="D641" s="1454"/>
      <c r="E641" s="1454"/>
      <c r="F641" s="1454"/>
      <c r="G641" s="1454"/>
      <c r="H641" s="1454"/>
      <c r="I641" s="1454"/>
      <c r="J641" s="1454"/>
      <c r="K641" s="1454"/>
      <c r="L641" s="1454"/>
      <c r="M641" s="1454"/>
      <c r="N641" s="1454"/>
      <c r="O641" s="1454"/>
      <c r="P641" s="1454"/>
      <c r="Q641" s="1454"/>
      <c r="R641" s="1454"/>
      <c r="S641" s="1454"/>
      <c r="T641" s="1454"/>
      <c r="U641" s="1454"/>
      <c r="V641" s="1454"/>
      <c r="W641" s="1454"/>
      <c r="X641" s="1454"/>
      <c r="Y641" s="1454"/>
      <c r="Z641" s="1454"/>
      <c r="AA641" s="1454"/>
      <c r="AB641" s="1454"/>
      <c r="AC641" s="1454"/>
      <c r="AD641" s="1454"/>
      <c r="AE641" s="1454"/>
      <c r="AF641" s="1454"/>
      <c r="AG641" s="1454"/>
      <c r="AH641" s="1454"/>
      <c r="AI641" s="1454"/>
      <c r="AJ641" s="1454"/>
      <c r="AK641" s="1454"/>
      <c r="AL641" s="1454"/>
      <c r="AM641" s="1454"/>
      <c r="AN641" s="1455"/>
      <c r="AO641" s="1616">
        <f>AO639+AO640</f>
        <v>196770150</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BN641" s="1502">
        <f>SUM(BN637:BR640)</f>
        <v>0</v>
      </c>
      <c r="BO641" s="1516"/>
      <c r="BP641" s="1516"/>
      <c r="BQ641" s="1516"/>
      <c r="BR641" s="1503"/>
      <c r="BS641" s="1496">
        <f>SUM(BS637:BW640)</f>
        <v>0</v>
      </c>
      <c r="BT641" s="1497"/>
      <c r="BU641" s="1497"/>
      <c r="BV641" s="1497"/>
      <c r="BW641" s="1498"/>
      <c r="BX641" s="1496">
        <f>SUM(BX637:CB640)</f>
        <v>0</v>
      </c>
      <c r="BY641" s="1497"/>
      <c r="BZ641" s="1497"/>
      <c r="CA641" s="1497"/>
      <c r="CB641" s="1498"/>
      <c r="CC641" s="1496">
        <f>SUM(CC637:CG640)</f>
        <v>5</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5</v>
      </c>
      <c r="CT641" s="57" t="s">
        <v>2046</v>
      </c>
      <c r="CU641" s="3"/>
      <c r="CV641" s="3"/>
      <c r="CW641" s="3"/>
      <c r="CX641" s="3"/>
      <c r="CY641" s="3"/>
      <c r="CZ641" s="3"/>
      <c r="DA641" s="3"/>
      <c r="DB641" s="3"/>
      <c r="DC641" s="3"/>
      <c r="DD641" s="3"/>
      <c r="DE641" s="3"/>
      <c r="DF641" s="3"/>
      <c r="DX641" s="1485" t="e">
        <f t="shared" si="29"/>
        <v>#VALUE!</v>
      </c>
      <c r="DY641" s="1485"/>
      <c r="DZ641" s="1485"/>
      <c r="EA641" s="1485"/>
      <c r="EB641" s="1485"/>
      <c r="EC641" s="1485" t="e">
        <f t="shared" si="24"/>
        <v>#VALUE!</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15</v>
      </c>
      <c r="CH642" s="3"/>
      <c r="CI642" s="3"/>
      <c r="CJ642" s="3"/>
      <c r="CK642" s="3"/>
      <c r="CL642" s="895">
        <f>CH641*4</f>
        <v>0</v>
      </c>
      <c r="CM642" s="3"/>
      <c r="CN642" s="3"/>
      <c r="CO642" s="3"/>
      <c r="CP642" s="3"/>
      <c r="CQ642" s="895">
        <f>CM641*5</f>
        <v>0</v>
      </c>
      <c r="CS642" s="895">
        <f>BR642+BW642+CB642+CG642+CL642+CQ642</f>
        <v>15</v>
      </c>
      <c r="CT642" s="57" t="s">
        <v>2048</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t="e">
        <f t="shared" si="25"/>
        <v>#VALUE!</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2.95" customHeight="1">
      <c r="A643" s="55" t="s">
        <v>112</v>
      </c>
      <c r="B643" t="s">
        <v>470</v>
      </c>
      <c r="G643" s="1456" t="str">
        <f>C627</f>
        <v>Citibank, N.A.</v>
      </c>
      <c r="H643" s="1456"/>
      <c r="I643" s="1456"/>
      <c r="J643" s="1456"/>
      <c r="K643" s="1456"/>
      <c r="L643" s="1456"/>
      <c r="M643" s="1456"/>
      <c r="N643" s="1456"/>
      <c r="O643" s="1456"/>
      <c r="P643" s="1456"/>
      <c r="Q643" s="1456"/>
      <c r="R643" s="1456"/>
      <c r="S643" s="8"/>
      <c r="T643" s="55" t="s">
        <v>113</v>
      </c>
      <c r="U643" t="s">
        <v>470</v>
      </c>
      <c r="Z643" s="1456" t="str">
        <f>C628</f>
        <v>Bonneville</v>
      </c>
      <c r="AA643" s="1456"/>
      <c r="AB643" s="1456"/>
      <c r="AC643" s="1456"/>
      <c r="AD643" s="1456"/>
      <c r="AE643" s="1456"/>
      <c r="AF643" s="1456"/>
      <c r="AG643" s="1456"/>
      <c r="AH643" s="1456"/>
      <c r="AI643" s="1456"/>
      <c r="AJ643" s="1456"/>
      <c r="AK643" s="145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t="e">
        <f t="shared" si="25"/>
        <v>#VALUE!</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2.95" customHeight="1">
      <c r="A644" s="22"/>
      <c r="B644" t="s">
        <v>85</v>
      </c>
      <c r="G644" s="1380" t="s">
        <v>2718</v>
      </c>
      <c r="H644" s="1380"/>
      <c r="I644" s="1380"/>
      <c r="J644" s="1380"/>
      <c r="K644" s="1380"/>
      <c r="L644" s="1380"/>
      <c r="M644" s="1380"/>
      <c r="N644" s="1380"/>
      <c r="O644" s="1380"/>
      <c r="P644" s="1380"/>
      <c r="Q644" s="1380"/>
      <c r="R644" s="1380"/>
      <c r="S644" s="8"/>
      <c r="T644" s="22"/>
      <c r="U644" t="s">
        <v>85</v>
      </c>
      <c r="Z644" s="1380" t="s">
        <v>2724</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t="e">
        <f t="shared" si="25"/>
        <v>#VALUE!</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2.95" customHeight="1">
      <c r="A645" s="22"/>
      <c r="B645" t="s">
        <v>587</v>
      </c>
      <c r="G645" s="1380" t="s">
        <v>2719</v>
      </c>
      <c r="H645" s="1380"/>
      <c r="I645" s="1380"/>
      <c r="J645" s="1380"/>
      <c r="K645" s="1380"/>
      <c r="L645" s="1380"/>
      <c r="M645" s="1380"/>
      <c r="N645" s="1380"/>
      <c r="O645" s="1380"/>
      <c r="P645" s="1380"/>
      <c r="Q645" s="1380"/>
      <c r="R645" s="1380"/>
      <c r="T645" s="22"/>
      <c r="U645" t="s">
        <v>587</v>
      </c>
      <c r="Z645" s="1434" t="s">
        <v>2725</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493">
        <f t="shared" ref="BN645:BN654" si="30">IF(J787="SRO/Studio",O787,0)</f>
        <v>0</v>
      </c>
      <c r="BO645" s="1494"/>
      <c r="BP645" s="1494"/>
      <c r="BQ645" s="1494"/>
      <c r="BR645" s="1495"/>
      <c r="BS645" s="1492">
        <f t="shared" ref="BS645:BS654" si="31">IF(J787="1 Bedroom",O787,0)</f>
        <v>0</v>
      </c>
      <c r="BT645" s="1492"/>
      <c r="BU645" s="1492"/>
      <c r="BV645" s="1492"/>
      <c r="BW645" s="1492"/>
      <c r="BX645" s="1492">
        <f t="shared" ref="BX645:BX654" si="32">IF(J787="2 Bedrooms",O787,0)</f>
        <v>0</v>
      </c>
      <c r="BY645" s="1492"/>
      <c r="BZ645" s="1492"/>
      <c r="CA645" s="1492"/>
      <c r="CB645" s="1492"/>
      <c r="CC645" s="1492">
        <f t="shared" ref="CC645:CC654" si="33">IF(J787="3 Bedrooms",O787,0)</f>
        <v>0</v>
      </c>
      <c r="CD645" s="1492"/>
      <c r="CE645" s="1492"/>
      <c r="CF645" s="1492"/>
      <c r="CG645" s="1492"/>
      <c r="CH645" s="1492">
        <f t="shared" ref="CH645:CH654" si="34">IF(J787="4 Bedrooms",O787,0)</f>
        <v>0</v>
      </c>
      <c r="CI645" s="1492"/>
      <c r="CJ645" s="1492"/>
      <c r="CK645" s="1492"/>
      <c r="CL645" s="1492"/>
      <c r="CM645" s="1492">
        <f t="shared" ref="CM645:CM654" si="35">IF(J787="5 Bedrooms",O787,0)</f>
        <v>0</v>
      </c>
      <c r="CN645" s="1492"/>
      <c r="CO645" s="1492"/>
      <c r="CP645" s="1492"/>
      <c r="CQ645" s="1492"/>
      <c r="CR645" s="6"/>
      <c r="CS645" s="1493">
        <f t="shared" ref="CS645:CS654" si="36">IF(AND(BN645&gt;=1,AH787&gt;=0.1,AH787&lt;=1),O787,0)</f>
        <v>0</v>
      </c>
      <c r="CT645" s="1494"/>
      <c r="CU645" s="1494"/>
      <c r="CV645" s="1494"/>
      <c r="CW645" s="1495"/>
      <c r="CX645" s="1493">
        <f t="shared" ref="CX645:CX654" si="37">IF(AND(BS645&gt;=1,AH787&gt;=0.1,AH787&lt;=1),O787,0)</f>
        <v>0</v>
      </c>
      <c r="CY645" s="1494"/>
      <c r="CZ645" s="1494"/>
      <c r="DA645" s="1494"/>
      <c r="DB645" s="1495"/>
      <c r="DC645" s="1493">
        <f t="shared" ref="DC645:DC654" si="38">IF(AND(BX645&gt;=1,AH787&gt;=0.1,AH787&lt;=1),O787,0)</f>
        <v>0</v>
      </c>
      <c r="DD645" s="1494"/>
      <c r="DE645" s="1494"/>
      <c r="DF645" s="1494"/>
      <c r="DG645" s="1495"/>
      <c r="DH645" s="1493">
        <f t="shared" ref="DH645:DH654" si="39">IF(AND(CC645&gt;=1,AH787&gt;=0.1,AH787&lt;=1),O787,0)</f>
        <v>0</v>
      </c>
      <c r="DI645" s="1494"/>
      <c r="DJ645" s="1494"/>
      <c r="DK645" s="1494"/>
      <c r="DL645" s="1495"/>
      <c r="DM645" s="1493">
        <f t="shared" ref="DM645:DM654" si="40">IF(AND(CH645&gt;=1,AH787&gt;=0.1,AH787&lt;=1),O787,0)</f>
        <v>0</v>
      </c>
      <c r="DN645" s="1494"/>
      <c r="DO645" s="1494"/>
      <c r="DP645" s="1494"/>
      <c r="DQ645" s="1495"/>
      <c r="DR645" s="1493">
        <f t="shared" ref="DR645:DR654" si="41">IF(AND(CM645&gt;=1,AH787&gt;=0.1,AH787&lt;=1),O787,0)</f>
        <v>0</v>
      </c>
      <c r="DS645" s="1494"/>
      <c r="DT645" s="1494"/>
      <c r="DU645" s="1494"/>
      <c r="DV645" s="1495"/>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2.95" customHeight="1">
      <c r="A646" s="22"/>
      <c r="B646" t="s">
        <v>17</v>
      </c>
      <c r="G646" s="1380" t="s">
        <v>2720</v>
      </c>
      <c r="H646" s="1380"/>
      <c r="I646" s="1380"/>
      <c r="J646" s="1380"/>
      <c r="K646" s="1380"/>
      <c r="L646" s="1380"/>
      <c r="M646" s="1380"/>
      <c r="N646" s="1380"/>
      <c r="O646" s="1380"/>
      <c r="P646" s="1380"/>
      <c r="Q646" s="1380"/>
      <c r="R646" s="1380"/>
      <c r="S646" s="8"/>
      <c r="T646" s="22"/>
      <c r="U646" t="s">
        <v>17</v>
      </c>
      <c r="Z646" s="1434" t="s">
        <v>2726</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493">
        <f t="shared" si="30"/>
        <v>0</v>
      </c>
      <c r="BO646" s="1494"/>
      <c r="BP646" s="1494"/>
      <c r="BQ646" s="1494"/>
      <c r="BR646" s="1495"/>
      <c r="BS646" s="1492">
        <f t="shared" si="31"/>
        <v>0</v>
      </c>
      <c r="BT646" s="1492"/>
      <c r="BU646" s="1492"/>
      <c r="BV646" s="1492"/>
      <c r="BW646" s="1492"/>
      <c r="BX646" s="1492">
        <f t="shared" si="32"/>
        <v>0</v>
      </c>
      <c r="BY646" s="1492"/>
      <c r="BZ646" s="1492"/>
      <c r="CA646" s="1492"/>
      <c r="CB646" s="1492"/>
      <c r="CC646" s="1492">
        <f t="shared" si="33"/>
        <v>0</v>
      </c>
      <c r="CD646" s="1492"/>
      <c r="CE646" s="1492"/>
      <c r="CF646" s="1492"/>
      <c r="CG646" s="1492"/>
      <c r="CH646" s="1492">
        <f t="shared" si="34"/>
        <v>0</v>
      </c>
      <c r="CI646" s="1492"/>
      <c r="CJ646" s="1492"/>
      <c r="CK646" s="1492"/>
      <c r="CL646" s="1492"/>
      <c r="CM646" s="1492">
        <f t="shared" si="35"/>
        <v>0</v>
      </c>
      <c r="CN646" s="1492"/>
      <c r="CO646" s="1492"/>
      <c r="CP646" s="1492"/>
      <c r="CQ646" s="1492"/>
      <c r="CR646" s="6"/>
      <c r="CS646" s="1493">
        <f t="shared" si="36"/>
        <v>0</v>
      </c>
      <c r="CT646" s="1494"/>
      <c r="CU646" s="1494"/>
      <c r="CV646" s="1494"/>
      <c r="CW646" s="1495"/>
      <c r="CX646" s="1493">
        <f t="shared" si="37"/>
        <v>0</v>
      </c>
      <c r="CY646" s="1494"/>
      <c r="CZ646" s="1494"/>
      <c r="DA646" s="1494"/>
      <c r="DB646" s="1495"/>
      <c r="DC646" s="1493">
        <f t="shared" si="38"/>
        <v>0</v>
      </c>
      <c r="DD646" s="1494"/>
      <c r="DE646" s="1494"/>
      <c r="DF646" s="1494"/>
      <c r="DG646" s="1495"/>
      <c r="DH646" s="1493">
        <f t="shared" si="39"/>
        <v>0</v>
      </c>
      <c r="DI646" s="1494"/>
      <c r="DJ646" s="1494"/>
      <c r="DK646" s="1494"/>
      <c r="DL646" s="1495"/>
      <c r="DM646" s="1493">
        <f t="shared" si="40"/>
        <v>0</v>
      </c>
      <c r="DN646" s="1494"/>
      <c r="DO646" s="1494"/>
      <c r="DP646" s="1494"/>
      <c r="DQ646" s="1495"/>
      <c r="DR646" s="1493">
        <f t="shared" si="41"/>
        <v>0</v>
      </c>
      <c r="DS646" s="1494"/>
      <c r="DT646" s="1494"/>
      <c r="DU646" s="1494"/>
      <c r="DV646" s="1495"/>
      <c r="DX646" s="1485" t="e">
        <f t="shared" si="29"/>
        <v>#VALUE!</v>
      </c>
      <c r="DY646" s="1485"/>
      <c r="DZ646" s="1485"/>
      <c r="EA646" s="1485"/>
      <c r="EB646" s="1485"/>
      <c r="EC646" s="1485" t="e">
        <f t="shared" si="24"/>
        <v>#VALUE!</v>
      </c>
      <c r="ED646" s="1485"/>
      <c r="EE646" s="1485"/>
      <c r="EF646" s="1485"/>
      <c r="EG646" s="1485"/>
      <c r="EH646" s="1485" t="e">
        <f t="shared" si="25"/>
        <v>#VALUE!</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2.95" customHeight="1">
      <c r="A647" s="22"/>
      <c r="B647" t="s">
        <v>316</v>
      </c>
      <c r="G647" s="1390" t="s">
        <v>2721</v>
      </c>
      <c r="H647" s="1391"/>
      <c r="I647" s="1391"/>
      <c r="J647" s="1391"/>
      <c r="K647" s="1391"/>
      <c r="L647" s="1391"/>
      <c r="O647" s="33" t="s">
        <v>206</v>
      </c>
      <c r="P647" s="1465"/>
      <c r="Q647" s="1465"/>
      <c r="R647" s="1465"/>
      <c r="S647" s="10"/>
      <c r="T647" s="22"/>
      <c r="U647" t="s">
        <v>316</v>
      </c>
      <c r="Z647" s="1390" t="s">
        <v>2727</v>
      </c>
      <c r="AA647" s="1391"/>
      <c r="AB647" s="1391"/>
      <c r="AC647" s="1391"/>
      <c r="AD647" s="1391"/>
      <c r="AE647" s="1391"/>
      <c r="AH647" s="33" t="s">
        <v>206</v>
      </c>
      <c r="AI647" s="1465"/>
      <c r="AJ647" s="1465"/>
      <c r="AK647" s="1465"/>
      <c r="AZ647" s="34"/>
      <c r="BA647" s="34"/>
      <c r="BB647" s="34"/>
      <c r="BC647" s="34"/>
      <c r="BD647" s="34"/>
      <c r="BE647" s="34"/>
      <c r="BF647" s="34"/>
      <c r="BG647" s="34"/>
      <c r="BH647" s="34"/>
      <c r="BI647" s="34"/>
      <c r="BJ647" s="34"/>
      <c r="BK647" s="34"/>
      <c r="BL647" s="34"/>
      <c r="BM647" s="34"/>
      <c r="BN647" s="1493">
        <f t="shared" si="30"/>
        <v>0</v>
      </c>
      <c r="BO647" s="1494"/>
      <c r="BP647" s="1494"/>
      <c r="BQ647" s="1494"/>
      <c r="BR647" s="1495"/>
      <c r="BS647" s="1492">
        <f t="shared" si="31"/>
        <v>0</v>
      </c>
      <c r="BT647" s="1492"/>
      <c r="BU647" s="1492"/>
      <c r="BV647" s="1492"/>
      <c r="BW647" s="1492"/>
      <c r="BX647" s="1492">
        <f t="shared" si="32"/>
        <v>0</v>
      </c>
      <c r="BY647" s="1492"/>
      <c r="BZ647" s="1492"/>
      <c r="CA647" s="1492"/>
      <c r="CB647" s="1492"/>
      <c r="CC647" s="1492">
        <f t="shared" si="33"/>
        <v>0</v>
      </c>
      <c r="CD647" s="1492"/>
      <c r="CE647" s="1492"/>
      <c r="CF647" s="1492"/>
      <c r="CG647" s="1492"/>
      <c r="CH647" s="1492">
        <f t="shared" si="34"/>
        <v>0</v>
      </c>
      <c r="CI647" s="1492"/>
      <c r="CJ647" s="1492"/>
      <c r="CK647" s="1492"/>
      <c r="CL647" s="1492"/>
      <c r="CM647" s="1492">
        <f t="shared" si="35"/>
        <v>0</v>
      </c>
      <c r="CN647" s="1492"/>
      <c r="CO647" s="1492"/>
      <c r="CP647" s="1492"/>
      <c r="CQ647" s="1492"/>
      <c r="CR647" s="6"/>
      <c r="CS647" s="1493">
        <f t="shared" si="36"/>
        <v>0</v>
      </c>
      <c r="CT647" s="1494"/>
      <c r="CU647" s="1494"/>
      <c r="CV647" s="1494"/>
      <c r="CW647" s="1495"/>
      <c r="CX647" s="1493">
        <f t="shared" si="37"/>
        <v>0</v>
      </c>
      <c r="CY647" s="1494"/>
      <c r="CZ647" s="1494"/>
      <c r="DA647" s="1494"/>
      <c r="DB647" s="1495"/>
      <c r="DC647" s="1493">
        <f t="shared" si="38"/>
        <v>0</v>
      </c>
      <c r="DD647" s="1494"/>
      <c r="DE647" s="1494"/>
      <c r="DF647" s="1494"/>
      <c r="DG647" s="1495"/>
      <c r="DH647" s="1493">
        <f t="shared" si="39"/>
        <v>0</v>
      </c>
      <c r="DI647" s="1494"/>
      <c r="DJ647" s="1494"/>
      <c r="DK647" s="1494"/>
      <c r="DL647" s="1495"/>
      <c r="DM647" s="1493">
        <f t="shared" si="40"/>
        <v>0</v>
      </c>
      <c r="DN647" s="1494"/>
      <c r="DO647" s="1494"/>
      <c r="DP647" s="1494"/>
      <c r="DQ647" s="1495"/>
      <c r="DR647" s="1493">
        <f t="shared" si="41"/>
        <v>0</v>
      </c>
      <c r="DS647" s="1494"/>
      <c r="DT647" s="1494"/>
      <c r="DU647" s="1494"/>
      <c r="DV647" s="1495"/>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t="e">
        <f t="shared" si="26"/>
        <v>#VALUE!</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2.95" customHeight="1">
      <c r="A648" s="22"/>
      <c r="B648" t="s">
        <v>18</v>
      </c>
      <c r="H648" s="1380" t="s">
        <v>2731</v>
      </c>
      <c r="I648" s="1380"/>
      <c r="J648" s="1380"/>
      <c r="K648" s="1380"/>
      <c r="L648" s="1380"/>
      <c r="M648" s="1380"/>
      <c r="N648" s="1380"/>
      <c r="O648" s="1380"/>
      <c r="P648" s="1380"/>
      <c r="Q648" s="1380"/>
      <c r="R648" s="1380"/>
      <c r="S648" s="8"/>
      <c r="T648" s="22"/>
      <c r="U648" t="s">
        <v>18</v>
      </c>
      <c r="AA648" s="1380" t="s">
        <v>2732</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3">
        <f t="shared" si="30"/>
        <v>0</v>
      </c>
      <c r="BO648" s="1494"/>
      <c r="BP648" s="1494"/>
      <c r="BQ648" s="1494"/>
      <c r="BR648" s="1495"/>
      <c r="BS648" s="1492">
        <f t="shared" si="31"/>
        <v>0</v>
      </c>
      <c r="BT648" s="1492"/>
      <c r="BU648" s="1492"/>
      <c r="BV648" s="1492"/>
      <c r="BW648" s="1492"/>
      <c r="BX648" s="1492">
        <f t="shared" si="32"/>
        <v>0</v>
      </c>
      <c r="BY648" s="1492"/>
      <c r="BZ648" s="1492"/>
      <c r="CA648" s="1492"/>
      <c r="CB648" s="1492"/>
      <c r="CC648" s="1492">
        <f t="shared" si="33"/>
        <v>0</v>
      </c>
      <c r="CD648" s="1492"/>
      <c r="CE648" s="1492"/>
      <c r="CF648" s="1492"/>
      <c r="CG648" s="1492"/>
      <c r="CH648" s="1492">
        <f t="shared" si="34"/>
        <v>0</v>
      </c>
      <c r="CI648" s="1492"/>
      <c r="CJ648" s="1492"/>
      <c r="CK648" s="1492"/>
      <c r="CL648" s="1492"/>
      <c r="CM648" s="1492">
        <f t="shared" si="35"/>
        <v>0</v>
      </c>
      <c r="CN648" s="1492"/>
      <c r="CO648" s="1492"/>
      <c r="CP648" s="1492"/>
      <c r="CQ648" s="1492"/>
      <c r="CR648" s="6"/>
      <c r="CS648" s="1493">
        <f t="shared" si="36"/>
        <v>0</v>
      </c>
      <c r="CT648" s="1494"/>
      <c r="CU648" s="1494"/>
      <c r="CV648" s="1494"/>
      <c r="CW648" s="1495"/>
      <c r="CX648" s="1493">
        <f t="shared" si="37"/>
        <v>0</v>
      </c>
      <c r="CY648" s="1494"/>
      <c r="CZ648" s="1494"/>
      <c r="DA648" s="1494"/>
      <c r="DB648" s="1495"/>
      <c r="DC648" s="1493">
        <f t="shared" si="38"/>
        <v>0</v>
      </c>
      <c r="DD648" s="1494"/>
      <c r="DE648" s="1494"/>
      <c r="DF648" s="1494"/>
      <c r="DG648" s="1495"/>
      <c r="DH648" s="1493">
        <f t="shared" si="39"/>
        <v>0</v>
      </c>
      <c r="DI648" s="1494"/>
      <c r="DJ648" s="1494"/>
      <c r="DK648" s="1494"/>
      <c r="DL648" s="1495"/>
      <c r="DM648" s="1493">
        <f t="shared" si="40"/>
        <v>0</v>
      </c>
      <c r="DN648" s="1494"/>
      <c r="DO648" s="1494"/>
      <c r="DP648" s="1494"/>
      <c r="DQ648" s="1495"/>
      <c r="DR648" s="1493">
        <f t="shared" si="41"/>
        <v>0</v>
      </c>
      <c r="DS648" s="1494"/>
      <c r="DT648" s="1494"/>
      <c r="DU648" s="1494"/>
      <c r="DV648" s="1495"/>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t="e">
        <f t="shared" si="26"/>
        <v>#VALUE!</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2.95" customHeight="1">
      <c r="A649" s="22"/>
      <c r="B649" t="s">
        <v>20</v>
      </c>
      <c r="N649" s="1379" t="s">
        <v>552</v>
      </c>
      <c r="O649" s="1379"/>
      <c r="T649" s="22"/>
      <c r="U649" t="s">
        <v>20</v>
      </c>
      <c r="AG649" s="1379" t="s">
        <v>552</v>
      </c>
      <c r="AH649" s="1379"/>
      <c r="AZ649" s="34"/>
      <c r="BA649" s="34"/>
      <c r="BB649" s="34"/>
      <c r="BC649" s="34"/>
      <c r="BD649" s="34"/>
      <c r="BE649" s="34"/>
      <c r="BF649" s="34"/>
      <c r="BG649" s="34"/>
      <c r="BH649" s="34"/>
      <c r="BI649" s="34"/>
      <c r="BJ649" s="34"/>
      <c r="BK649" s="34"/>
      <c r="BL649" s="34"/>
      <c r="BM649" s="34"/>
      <c r="BN649" s="1493">
        <f t="shared" si="30"/>
        <v>0</v>
      </c>
      <c r="BO649" s="1494"/>
      <c r="BP649" s="1494"/>
      <c r="BQ649" s="1494"/>
      <c r="BR649" s="1495"/>
      <c r="BS649" s="1492">
        <f t="shared" si="31"/>
        <v>0</v>
      </c>
      <c r="BT649" s="1492"/>
      <c r="BU649" s="1492"/>
      <c r="BV649" s="1492"/>
      <c r="BW649" s="1492"/>
      <c r="BX649" s="1492">
        <f t="shared" si="32"/>
        <v>0</v>
      </c>
      <c r="BY649" s="1492"/>
      <c r="BZ649" s="1492"/>
      <c r="CA649" s="1492"/>
      <c r="CB649" s="1492"/>
      <c r="CC649" s="1492">
        <f t="shared" si="33"/>
        <v>0</v>
      </c>
      <c r="CD649" s="1492"/>
      <c r="CE649" s="1492"/>
      <c r="CF649" s="1492"/>
      <c r="CG649" s="1492"/>
      <c r="CH649" s="1492">
        <f t="shared" si="34"/>
        <v>0</v>
      </c>
      <c r="CI649" s="1492"/>
      <c r="CJ649" s="1492"/>
      <c r="CK649" s="1492"/>
      <c r="CL649" s="1492"/>
      <c r="CM649" s="1492">
        <f t="shared" si="35"/>
        <v>0</v>
      </c>
      <c r="CN649" s="1492"/>
      <c r="CO649" s="1492"/>
      <c r="CP649" s="1492"/>
      <c r="CQ649" s="1492"/>
      <c r="CR649" s="6"/>
      <c r="CS649" s="1493">
        <f t="shared" si="36"/>
        <v>0</v>
      </c>
      <c r="CT649" s="1494"/>
      <c r="CU649" s="1494"/>
      <c r="CV649" s="1494"/>
      <c r="CW649" s="1495"/>
      <c r="CX649" s="1493">
        <f t="shared" si="37"/>
        <v>0</v>
      </c>
      <c r="CY649" s="1494"/>
      <c r="CZ649" s="1494"/>
      <c r="DA649" s="1494"/>
      <c r="DB649" s="1495"/>
      <c r="DC649" s="1493">
        <f t="shared" si="38"/>
        <v>0</v>
      </c>
      <c r="DD649" s="1494"/>
      <c r="DE649" s="1494"/>
      <c r="DF649" s="1494"/>
      <c r="DG649" s="1495"/>
      <c r="DH649" s="1493">
        <f t="shared" si="39"/>
        <v>0</v>
      </c>
      <c r="DI649" s="1494"/>
      <c r="DJ649" s="1494"/>
      <c r="DK649" s="1494"/>
      <c r="DL649" s="1495"/>
      <c r="DM649" s="1493">
        <f t="shared" si="40"/>
        <v>0</v>
      </c>
      <c r="DN649" s="1494"/>
      <c r="DO649" s="1494"/>
      <c r="DP649" s="1494"/>
      <c r="DQ649" s="1495"/>
      <c r="DR649" s="1493">
        <f t="shared" si="41"/>
        <v>0</v>
      </c>
      <c r="DS649" s="1494"/>
      <c r="DT649" s="1494"/>
      <c r="DU649" s="1494"/>
      <c r="DV649" s="1495"/>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t="e">
        <f t="shared" si="26"/>
        <v>#VALUE!</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2.95" customHeight="1">
      <c r="A650" s="22"/>
      <c r="T650" s="22"/>
      <c r="AZ650" s="34"/>
      <c r="BA650" s="34"/>
      <c r="BB650" s="34"/>
      <c r="BC650" s="34"/>
      <c r="BD650" s="34"/>
      <c r="BE650" s="34"/>
      <c r="BF650" s="34"/>
      <c r="BG650" s="34"/>
      <c r="BH650" s="34"/>
      <c r="BI650" s="34"/>
      <c r="BJ650" s="34"/>
      <c r="BK650" s="34"/>
      <c r="BL650" s="34"/>
      <c r="BM650" s="34"/>
      <c r="BN650" s="1493">
        <f t="shared" si="30"/>
        <v>0</v>
      </c>
      <c r="BO650" s="1494"/>
      <c r="BP650" s="1494"/>
      <c r="BQ650" s="1494"/>
      <c r="BR650" s="1495"/>
      <c r="BS650" s="1492">
        <f t="shared" si="31"/>
        <v>0</v>
      </c>
      <c r="BT650" s="1492"/>
      <c r="BU650" s="1492"/>
      <c r="BV650" s="1492"/>
      <c r="BW650" s="1492"/>
      <c r="BX650" s="1492">
        <f t="shared" si="32"/>
        <v>0</v>
      </c>
      <c r="BY650" s="1492"/>
      <c r="BZ650" s="1492"/>
      <c r="CA650" s="1492"/>
      <c r="CB650" s="1492"/>
      <c r="CC650" s="1492">
        <f t="shared" si="33"/>
        <v>0</v>
      </c>
      <c r="CD650" s="1492"/>
      <c r="CE650" s="1492"/>
      <c r="CF650" s="1492"/>
      <c r="CG650" s="1492"/>
      <c r="CH650" s="1492">
        <f t="shared" si="34"/>
        <v>0</v>
      </c>
      <c r="CI650" s="1492"/>
      <c r="CJ650" s="1492"/>
      <c r="CK650" s="1492"/>
      <c r="CL650" s="1492"/>
      <c r="CM650" s="1492">
        <f t="shared" si="35"/>
        <v>0</v>
      </c>
      <c r="CN650" s="1492"/>
      <c r="CO650" s="1492"/>
      <c r="CP650" s="1492"/>
      <c r="CQ650" s="1492"/>
      <c r="CR650" s="6"/>
      <c r="CS650" s="1493">
        <f t="shared" si="36"/>
        <v>0</v>
      </c>
      <c r="CT650" s="1494"/>
      <c r="CU650" s="1494"/>
      <c r="CV650" s="1494"/>
      <c r="CW650" s="1495"/>
      <c r="CX650" s="1493">
        <f t="shared" si="37"/>
        <v>0</v>
      </c>
      <c r="CY650" s="1494"/>
      <c r="CZ650" s="1494"/>
      <c r="DA650" s="1494"/>
      <c r="DB650" s="1495"/>
      <c r="DC650" s="1493">
        <f t="shared" si="38"/>
        <v>0</v>
      </c>
      <c r="DD650" s="1494"/>
      <c r="DE650" s="1494"/>
      <c r="DF650" s="1494"/>
      <c r="DG650" s="1495"/>
      <c r="DH650" s="1493">
        <f t="shared" si="39"/>
        <v>0</v>
      </c>
      <c r="DI650" s="1494"/>
      <c r="DJ650" s="1494"/>
      <c r="DK650" s="1494"/>
      <c r="DL650" s="1495"/>
      <c r="DM650" s="1493">
        <f t="shared" si="40"/>
        <v>0</v>
      </c>
      <c r="DN650" s="1494"/>
      <c r="DO650" s="1494"/>
      <c r="DP650" s="1494"/>
      <c r="DQ650" s="1495"/>
      <c r="DR650" s="1493">
        <f t="shared" si="41"/>
        <v>0</v>
      </c>
      <c r="DS650" s="1494"/>
      <c r="DT650" s="1494"/>
      <c r="DU650" s="1494"/>
      <c r="DV650" s="1495"/>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t="e">
        <f t="shared" si="26"/>
        <v>#VALUE!</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2.95" customHeight="1">
      <c r="A651" s="55" t="s">
        <v>119</v>
      </c>
      <c r="B651" t="s">
        <v>470</v>
      </c>
      <c r="G651" s="1456" t="str">
        <f>C629</f>
        <v>Pacific West Communities, Inc.</v>
      </c>
      <c r="H651" s="1456"/>
      <c r="I651" s="1456"/>
      <c r="J651" s="1456"/>
      <c r="K651" s="1456"/>
      <c r="L651" s="1456"/>
      <c r="M651" s="1456"/>
      <c r="N651" s="1456"/>
      <c r="O651" s="1456"/>
      <c r="P651" s="1456"/>
      <c r="Q651" s="1456"/>
      <c r="R651" s="1456"/>
      <c r="T651" s="55" t="s">
        <v>588</v>
      </c>
      <c r="U651" t="s">
        <v>470</v>
      </c>
      <c r="Z651" s="1456">
        <f>C630</f>
        <v>0</v>
      </c>
      <c r="AA651" s="1456"/>
      <c r="AB651" s="1456"/>
      <c r="AC651" s="1456"/>
      <c r="AD651" s="1456"/>
      <c r="AE651" s="1456"/>
      <c r="AF651" s="1456"/>
      <c r="AG651" s="1456"/>
      <c r="AH651" s="1456"/>
      <c r="AI651" s="1456"/>
      <c r="AJ651" s="1456"/>
      <c r="AK651" s="1456"/>
      <c r="AZ651" s="34"/>
      <c r="BA651" s="34"/>
      <c r="BB651" s="34"/>
      <c r="BC651" s="34"/>
      <c r="BD651" s="34"/>
      <c r="BE651" s="34"/>
      <c r="BF651" s="34"/>
      <c r="BG651" s="34"/>
      <c r="BH651" s="34"/>
      <c r="BI651" s="34"/>
      <c r="BJ651" s="34"/>
      <c r="BK651" s="34"/>
      <c r="BL651" s="34"/>
      <c r="BM651" s="34"/>
      <c r="BN651" s="1493">
        <f t="shared" si="30"/>
        <v>0</v>
      </c>
      <c r="BO651" s="1494"/>
      <c r="BP651" s="1494"/>
      <c r="BQ651" s="1494"/>
      <c r="BR651" s="1495"/>
      <c r="BS651" s="1492">
        <f t="shared" si="31"/>
        <v>0</v>
      </c>
      <c r="BT651" s="1492"/>
      <c r="BU651" s="1492"/>
      <c r="BV651" s="1492"/>
      <c r="BW651" s="1492"/>
      <c r="BX651" s="1492">
        <f t="shared" si="32"/>
        <v>0</v>
      </c>
      <c r="BY651" s="1492"/>
      <c r="BZ651" s="1492"/>
      <c r="CA651" s="1492"/>
      <c r="CB651" s="1492"/>
      <c r="CC651" s="1492">
        <f t="shared" si="33"/>
        <v>0</v>
      </c>
      <c r="CD651" s="1492"/>
      <c r="CE651" s="1492"/>
      <c r="CF651" s="1492"/>
      <c r="CG651" s="1492"/>
      <c r="CH651" s="1492">
        <f t="shared" si="34"/>
        <v>0</v>
      </c>
      <c r="CI651" s="1492"/>
      <c r="CJ651" s="1492"/>
      <c r="CK651" s="1492"/>
      <c r="CL651" s="1492"/>
      <c r="CM651" s="1492">
        <f t="shared" si="35"/>
        <v>0</v>
      </c>
      <c r="CN651" s="1492"/>
      <c r="CO651" s="1492"/>
      <c r="CP651" s="1492"/>
      <c r="CQ651" s="1492"/>
      <c r="CR651" s="6"/>
      <c r="CS651" s="1493">
        <f t="shared" si="36"/>
        <v>0</v>
      </c>
      <c r="CT651" s="1494"/>
      <c r="CU651" s="1494"/>
      <c r="CV651" s="1494"/>
      <c r="CW651" s="1495"/>
      <c r="CX651" s="1493">
        <f t="shared" si="37"/>
        <v>0</v>
      </c>
      <c r="CY651" s="1494"/>
      <c r="CZ651" s="1494"/>
      <c r="DA651" s="1494"/>
      <c r="DB651" s="1495"/>
      <c r="DC651" s="1493">
        <f t="shared" si="38"/>
        <v>0</v>
      </c>
      <c r="DD651" s="1494"/>
      <c r="DE651" s="1494"/>
      <c r="DF651" s="1494"/>
      <c r="DG651" s="1495"/>
      <c r="DH651" s="1493">
        <f t="shared" si="39"/>
        <v>0</v>
      </c>
      <c r="DI651" s="1494"/>
      <c r="DJ651" s="1494"/>
      <c r="DK651" s="1494"/>
      <c r="DL651" s="1495"/>
      <c r="DM651" s="1493">
        <f t="shared" si="40"/>
        <v>0</v>
      </c>
      <c r="DN651" s="1494"/>
      <c r="DO651" s="1494"/>
      <c r="DP651" s="1494"/>
      <c r="DQ651" s="1495"/>
      <c r="DR651" s="1493">
        <f t="shared" si="41"/>
        <v>0</v>
      </c>
      <c r="DS651" s="1494"/>
      <c r="DT651" s="1494"/>
      <c r="DU651" s="1494"/>
      <c r="DV651" s="1495"/>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2.95" customHeight="1">
      <c r="A652" s="22"/>
      <c r="B652" t="s">
        <v>85</v>
      </c>
      <c r="G652" s="1380" t="s">
        <v>2644</v>
      </c>
      <c r="H652" s="1380"/>
      <c r="I652" s="1380"/>
      <c r="J652" s="1380"/>
      <c r="K652" s="1380"/>
      <c r="L652" s="1380"/>
      <c r="M652" s="1380"/>
      <c r="N652" s="1380"/>
      <c r="O652" s="1380"/>
      <c r="P652" s="1380"/>
      <c r="Q652" s="1380"/>
      <c r="R652" s="1380"/>
      <c r="T652" s="22"/>
      <c r="U652" t="s">
        <v>85</v>
      </c>
      <c r="Z652" s="1380"/>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3">
        <f t="shared" si="30"/>
        <v>0</v>
      </c>
      <c r="BO652" s="1494"/>
      <c r="BP652" s="1494"/>
      <c r="BQ652" s="1494"/>
      <c r="BR652" s="1495"/>
      <c r="BS652" s="1492">
        <f t="shared" si="31"/>
        <v>0</v>
      </c>
      <c r="BT652" s="1492"/>
      <c r="BU652" s="1492"/>
      <c r="BV652" s="1492"/>
      <c r="BW652" s="1492"/>
      <c r="BX652" s="1492">
        <f t="shared" si="32"/>
        <v>0</v>
      </c>
      <c r="BY652" s="1492"/>
      <c r="BZ652" s="1492"/>
      <c r="CA652" s="1492"/>
      <c r="CB652" s="1492"/>
      <c r="CC652" s="1492">
        <f t="shared" si="33"/>
        <v>0</v>
      </c>
      <c r="CD652" s="1492"/>
      <c r="CE652" s="1492"/>
      <c r="CF652" s="1492"/>
      <c r="CG652" s="1492"/>
      <c r="CH652" s="1492">
        <f t="shared" si="34"/>
        <v>0</v>
      </c>
      <c r="CI652" s="1492"/>
      <c r="CJ652" s="1492"/>
      <c r="CK652" s="1492"/>
      <c r="CL652" s="1492"/>
      <c r="CM652" s="1492">
        <f t="shared" si="35"/>
        <v>0</v>
      </c>
      <c r="CN652" s="1492"/>
      <c r="CO652" s="1492"/>
      <c r="CP652" s="1492"/>
      <c r="CQ652" s="1492"/>
      <c r="CR652" s="6"/>
      <c r="CS652" s="1493">
        <f t="shared" si="36"/>
        <v>0</v>
      </c>
      <c r="CT652" s="1494"/>
      <c r="CU652" s="1494"/>
      <c r="CV652" s="1494"/>
      <c r="CW652" s="1495"/>
      <c r="CX652" s="1493">
        <f t="shared" si="37"/>
        <v>0</v>
      </c>
      <c r="CY652" s="1494"/>
      <c r="CZ652" s="1494"/>
      <c r="DA652" s="1494"/>
      <c r="DB652" s="1495"/>
      <c r="DC652" s="1493">
        <f t="shared" si="38"/>
        <v>0</v>
      </c>
      <c r="DD652" s="1494"/>
      <c r="DE652" s="1494"/>
      <c r="DF652" s="1494"/>
      <c r="DG652" s="1495"/>
      <c r="DH652" s="1493">
        <f t="shared" si="39"/>
        <v>0</v>
      </c>
      <c r="DI652" s="1494"/>
      <c r="DJ652" s="1494"/>
      <c r="DK652" s="1494"/>
      <c r="DL652" s="1495"/>
      <c r="DM652" s="1493">
        <f t="shared" si="40"/>
        <v>0</v>
      </c>
      <c r="DN652" s="1494"/>
      <c r="DO652" s="1494"/>
      <c r="DP652" s="1494"/>
      <c r="DQ652" s="1495"/>
      <c r="DR652" s="1493">
        <f t="shared" si="41"/>
        <v>0</v>
      </c>
      <c r="DS652" s="1494"/>
      <c r="DT652" s="1494"/>
      <c r="DU652" s="1494"/>
      <c r="DV652" s="1495"/>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2.95" customHeight="1">
      <c r="A653" s="22"/>
      <c r="B653" t="s">
        <v>587</v>
      </c>
      <c r="G653" s="1434" t="s">
        <v>2667</v>
      </c>
      <c r="H653" s="1434"/>
      <c r="I653" s="1434"/>
      <c r="J653" s="1434"/>
      <c r="K653" s="1434"/>
      <c r="L653" s="1434"/>
      <c r="M653" s="1434"/>
      <c r="N653" s="1434"/>
      <c r="O653" s="1434"/>
      <c r="P653" s="1434"/>
      <c r="Q653" s="1434"/>
      <c r="R653" s="1434"/>
      <c r="T653" s="22"/>
      <c r="U653" t="s">
        <v>587</v>
      </c>
      <c r="Z653" s="1434"/>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93">
        <f t="shared" si="30"/>
        <v>0</v>
      </c>
      <c r="BO653" s="1494"/>
      <c r="BP653" s="1494"/>
      <c r="BQ653" s="1494"/>
      <c r="BR653" s="1495"/>
      <c r="BS653" s="1492">
        <f t="shared" si="31"/>
        <v>0</v>
      </c>
      <c r="BT653" s="1492"/>
      <c r="BU653" s="1492"/>
      <c r="BV653" s="1492"/>
      <c r="BW653" s="1492"/>
      <c r="BX653" s="1492">
        <f t="shared" si="32"/>
        <v>0</v>
      </c>
      <c r="BY653" s="1492"/>
      <c r="BZ653" s="1492"/>
      <c r="CA653" s="1492"/>
      <c r="CB653" s="1492"/>
      <c r="CC653" s="1492">
        <f t="shared" si="33"/>
        <v>0</v>
      </c>
      <c r="CD653" s="1492"/>
      <c r="CE653" s="1492"/>
      <c r="CF653" s="1492"/>
      <c r="CG653" s="1492"/>
      <c r="CH653" s="1492">
        <f t="shared" si="34"/>
        <v>0</v>
      </c>
      <c r="CI653" s="1492"/>
      <c r="CJ653" s="1492"/>
      <c r="CK653" s="1492"/>
      <c r="CL653" s="1492"/>
      <c r="CM653" s="1492">
        <f t="shared" si="35"/>
        <v>0</v>
      </c>
      <c r="CN653" s="1492"/>
      <c r="CO653" s="1492"/>
      <c r="CP653" s="1492"/>
      <c r="CQ653" s="1492"/>
      <c r="CR653" s="6"/>
      <c r="CS653" s="1493">
        <f t="shared" si="36"/>
        <v>0</v>
      </c>
      <c r="CT653" s="1494"/>
      <c r="CU653" s="1494"/>
      <c r="CV653" s="1494"/>
      <c r="CW653" s="1495"/>
      <c r="CX653" s="1493">
        <f t="shared" si="37"/>
        <v>0</v>
      </c>
      <c r="CY653" s="1494"/>
      <c r="CZ653" s="1494"/>
      <c r="DA653" s="1494"/>
      <c r="DB653" s="1495"/>
      <c r="DC653" s="1493">
        <f t="shared" si="38"/>
        <v>0</v>
      </c>
      <c r="DD653" s="1494"/>
      <c r="DE653" s="1494"/>
      <c r="DF653" s="1494"/>
      <c r="DG653" s="1495"/>
      <c r="DH653" s="1493">
        <f t="shared" si="39"/>
        <v>0</v>
      </c>
      <c r="DI653" s="1494"/>
      <c r="DJ653" s="1494"/>
      <c r="DK653" s="1494"/>
      <c r="DL653" s="1495"/>
      <c r="DM653" s="1493">
        <f t="shared" si="40"/>
        <v>0</v>
      </c>
      <c r="DN653" s="1494"/>
      <c r="DO653" s="1494"/>
      <c r="DP653" s="1494"/>
      <c r="DQ653" s="1495"/>
      <c r="DR653" s="1493">
        <f t="shared" si="41"/>
        <v>0</v>
      </c>
      <c r="DS653" s="1494"/>
      <c r="DT653" s="1494"/>
      <c r="DU653" s="1494"/>
      <c r="DV653" s="1495"/>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2.95" customHeight="1">
      <c r="A654" s="22"/>
      <c r="B654" t="s">
        <v>17</v>
      </c>
      <c r="G654" s="1434" t="s">
        <v>2642</v>
      </c>
      <c r="H654" s="1434"/>
      <c r="I654" s="1434"/>
      <c r="J654" s="1434"/>
      <c r="K654" s="1434"/>
      <c r="L654" s="1434"/>
      <c r="M654" s="1434"/>
      <c r="N654" s="1434"/>
      <c r="O654" s="1434"/>
      <c r="P654" s="1434"/>
      <c r="Q654" s="1434"/>
      <c r="R654" s="1434"/>
      <c r="T654" s="22"/>
      <c r="U654" t="s">
        <v>17</v>
      </c>
      <c r="Z654" s="1434"/>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93">
        <f t="shared" si="30"/>
        <v>0</v>
      </c>
      <c r="BO654" s="1494"/>
      <c r="BP654" s="1494"/>
      <c r="BQ654" s="1494"/>
      <c r="BR654" s="1495"/>
      <c r="BS654" s="1492">
        <f t="shared" si="31"/>
        <v>0</v>
      </c>
      <c r="BT654" s="1492"/>
      <c r="BU654" s="1492"/>
      <c r="BV654" s="1492"/>
      <c r="BW654" s="1492"/>
      <c r="BX654" s="1492">
        <f t="shared" si="32"/>
        <v>0</v>
      </c>
      <c r="BY654" s="1492"/>
      <c r="BZ654" s="1492"/>
      <c r="CA654" s="1492"/>
      <c r="CB654" s="1492"/>
      <c r="CC654" s="1492">
        <f t="shared" si="33"/>
        <v>0</v>
      </c>
      <c r="CD654" s="1492"/>
      <c r="CE654" s="1492"/>
      <c r="CF654" s="1492"/>
      <c r="CG654" s="1492"/>
      <c r="CH654" s="1492">
        <f t="shared" si="34"/>
        <v>0</v>
      </c>
      <c r="CI654" s="1492"/>
      <c r="CJ654" s="1492"/>
      <c r="CK654" s="1492"/>
      <c r="CL654" s="1492"/>
      <c r="CM654" s="1492">
        <f t="shared" si="35"/>
        <v>0</v>
      </c>
      <c r="CN654" s="1492"/>
      <c r="CO654" s="1492"/>
      <c r="CP654" s="1492"/>
      <c r="CQ654" s="1492"/>
      <c r="CR654" s="6"/>
      <c r="CS654" s="1493">
        <f t="shared" si="36"/>
        <v>0</v>
      </c>
      <c r="CT654" s="1494"/>
      <c r="CU654" s="1494"/>
      <c r="CV654" s="1494"/>
      <c r="CW654" s="1495"/>
      <c r="CX654" s="1493">
        <f t="shared" si="37"/>
        <v>0</v>
      </c>
      <c r="CY654" s="1494"/>
      <c r="CZ654" s="1494"/>
      <c r="DA654" s="1494"/>
      <c r="DB654" s="1495"/>
      <c r="DC654" s="1493">
        <f t="shared" si="38"/>
        <v>0</v>
      </c>
      <c r="DD654" s="1494"/>
      <c r="DE654" s="1494"/>
      <c r="DF654" s="1494"/>
      <c r="DG654" s="1495"/>
      <c r="DH654" s="1493">
        <f t="shared" si="39"/>
        <v>0</v>
      </c>
      <c r="DI654" s="1494"/>
      <c r="DJ654" s="1494"/>
      <c r="DK654" s="1494"/>
      <c r="DL654" s="1495"/>
      <c r="DM654" s="1493">
        <f t="shared" si="40"/>
        <v>0</v>
      </c>
      <c r="DN654" s="1494"/>
      <c r="DO654" s="1494"/>
      <c r="DP654" s="1494"/>
      <c r="DQ654" s="1495"/>
      <c r="DR654" s="1493">
        <f t="shared" si="41"/>
        <v>0</v>
      </c>
      <c r="DS654" s="1494"/>
      <c r="DT654" s="1494"/>
      <c r="DU654" s="1494"/>
      <c r="DV654" s="1495"/>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2.95" customHeight="1">
      <c r="A655" s="22"/>
      <c r="B655" t="s">
        <v>316</v>
      </c>
      <c r="G655" s="1390" t="s">
        <v>2646</v>
      </c>
      <c r="H655" s="1391"/>
      <c r="I655" s="1391"/>
      <c r="J655" s="1391"/>
      <c r="K655" s="1391"/>
      <c r="L655" s="1391"/>
      <c r="O655" s="33" t="s">
        <v>206</v>
      </c>
      <c r="P655" s="1465">
        <v>3015</v>
      </c>
      <c r="Q655" s="1465"/>
      <c r="R655" s="1465"/>
      <c r="T655" s="22"/>
      <c r="U655" t="s">
        <v>316</v>
      </c>
      <c r="Z655" s="1390"/>
      <c r="AA655" s="1391"/>
      <c r="AB655" s="1391"/>
      <c r="AC655" s="1391"/>
      <c r="AD655" s="1391"/>
      <c r="AE655" s="1391"/>
      <c r="AH655" s="33" t="s">
        <v>206</v>
      </c>
      <c r="AI655" s="1465"/>
      <c r="AJ655" s="1465"/>
      <c r="AK655" s="1465"/>
      <c r="AZ655" s="34"/>
      <c r="BA655" s="34"/>
      <c r="BB655" s="34"/>
      <c r="BC655" s="34"/>
      <c r="BD655" s="34"/>
      <c r="BE655" s="34"/>
      <c r="BF655" s="34"/>
      <c r="BG655" s="34"/>
      <c r="BH655" s="34"/>
      <c r="BI655" s="34"/>
      <c r="BJ655" s="34"/>
      <c r="BK655" s="34"/>
      <c r="BL655" s="34"/>
      <c r="BM655" s="34"/>
      <c r="BN655" s="1502">
        <f>SUM(BN645:BR654)</f>
        <v>0</v>
      </c>
      <c r="BO655" s="1516"/>
      <c r="BP655" s="1516"/>
      <c r="BQ655" s="1516"/>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88">
        <f>SUM(CS645:CW654)</f>
        <v>0</v>
      </c>
      <c r="CT655" s="1488"/>
      <c r="CU655" s="1488"/>
      <c r="CV655" s="1488"/>
      <c r="CW655" s="1488"/>
      <c r="CX655" s="1488">
        <f>SUM(CX645:DB654)</f>
        <v>0</v>
      </c>
      <c r="CY655" s="1488"/>
      <c r="CZ655" s="1488"/>
      <c r="DA655" s="1488"/>
      <c r="DB655" s="1488"/>
      <c r="DC655" s="1488">
        <f>SUM(DC645:DG654)</f>
        <v>0</v>
      </c>
      <c r="DD655" s="1488"/>
      <c r="DE655" s="1488"/>
      <c r="DF655" s="1488"/>
      <c r="DG655" s="1488"/>
      <c r="DH655" s="1488">
        <f>SUM(DH645:DL654)</f>
        <v>0</v>
      </c>
      <c r="DI655" s="1488"/>
      <c r="DJ655" s="1488"/>
      <c r="DK655" s="1488"/>
      <c r="DL655" s="1488"/>
      <c r="DM655" s="1488">
        <f>SUM(DM645:DQ654)</f>
        <v>0</v>
      </c>
      <c r="DN655" s="1488"/>
      <c r="DO655" s="1488"/>
      <c r="DP655" s="1488"/>
      <c r="DQ655" s="1488"/>
      <c r="DR655" s="1488">
        <f>SUM(DR645:DV654)</f>
        <v>0</v>
      </c>
      <c r="DS655" s="1488"/>
      <c r="DT655" s="1488"/>
      <c r="DU655" s="1488"/>
      <c r="DV655" s="1488"/>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2.95" customHeight="1">
      <c r="A656" s="22"/>
      <c r="B656" t="s">
        <v>18</v>
      </c>
      <c r="H656" s="1380" t="s">
        <v>1846</v>
      </c>
      <c r="I656" s="1380"/>
      <c r="J656" s="1380"/>
      <c r="K656" s="1380"/>
      <c r="L656" s="1380"/>
      <c r="M656" s="1380"/>
      <c r="N656" s="1380"/>
      <c r="O656" s="1380"/>
      <c r="P656" s="1380"/>
      <c r="Q656" s="1380"/>
      <c r="R656" s="1380"/>
      <c r="T656" s="22"/>
      <c r="U656" t="s">
        <v>18</v>
      </c>
      <c r="AA656" s="1380"/>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2.95" customHeight="1">
      <c r="A657" s="22"/>
      <c r="B657" t="s">
        <v>20</v>
      </c>
      <c r="N657" s="1379" t="s">
        <v>552</v>
      </c>
      <c r="O657" s="1379"/>
      <c r="T657" s="22"/>
      <c r="U657" t="s">
        <v>20</v>
      </c>
      <c r="AG657" s="1379" t="s">
        <v>675</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2.95" customHeight="1">
      <c r="A659" s="55" t="s">
        <v>770</v>
      </c>
      <c r="B659" t="s">
        <v>470</v>
      </c>
      <c r="G659" s="1456">
        <f>C631</f>
        <v>0</v>
      </c>
      <c r="H659" s="1456"/>
      <c r="I659" s="1456"/>
      <c r="J659" s="1456"/>
      <c r="K659" s="1456"/>
      <c r="L659" s="1456"/>
      <c r="M659" s="1456"/>
      <c r="N659" s="1456"/>
      <c r="O659" s="1456"/>
      <c r="P659" s="1456"/>
      <c r="Q659" s="1456"/>
      <c r="R659" s="1456"/>
      <c r="T659" s="55" t="s">
        <v>591</v>
      </c>
      <c r="U659" t="s">
        <v>470</v>
      </c>
      <c r="Z659" s="1456">
        <f>C632</f>
        <v>0</v>
      </c>
      <c r="AA659" s="1456"/>
      <c r="AB659" s="1456"/>
      <c r="AC659" s="1456"/>
      <c r="AD659" s="1456"/>
      <c r="AE659" s="1456"/>
      <c r="AF659" s="1456"/>
      <c r="AG659" s="1456"/>
      <c r="AH659" s="1456"/>
      <c r="AI659" s="1456"/>
      <c r="AJ659" s="1456"/>
      <c r="AK659" s="145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2.95" customHeight="1">
      <c r="A660" s="22"/>
      <c r="B660" t="s">
        <v>85</v>
      </c>
      <c r="G660" s="1380"/>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476</v>
      </c>
      <c r="BT660" s="1497"/>
      <c r="BU660" s="1497"/>
      <c r="BV660" s="1497"/>
      <c r="BW660" s="1498"/>
      <c r="BX660" s="1496">
        <f>BX632+BX641+BX655</f>
        <v>0</v>
      </c>
      <c r="BY660" s="1497"/>
      <c r="BZ660" s="1497"/>
      <c r="CA660" s="1497"/>
      <c r="CB660" s="1498"/>
      <c r="CC660" s="1496">
        <f>CC632+CC641+CC655</f>
        <v>5</v>
      </c>
      <c r="CD660" s="1497"/>
      <c r="CE660" s="1497"/>
      <c r="CF660" s="1497"/>
      <c r="CG660" s="1498"/>
      <c r="CH660" s="1496">
        <f>CH632+CH641+CH655</f>
        <v>0</v>
      </c>
      <c r="CI660" s="1497"/>
      <c r="CJ660" s="1497"/>
      <c r="CK660" s="1497"/>
      <c r="CL660" s="1498"/>
      <c r="CM660" s="1489">
        <f>CM655+CM641+CM632</f>
        <v>0</v>
      </c>
      <c r="CN660" s="1490"/>
      <c r="CO660" s="1490"/>
      <c r="CP660" s="1490"/>
      <c r="CQ660" s="1491"/>
      <c r="CR660" s="3"/>
      <c r="CS660" s="895">
        <f>CS634+CS658</f>
        <v>476</v>
      </c>
      <c r="CT660" s="57" t="s">
        <v>2050</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2.95" customHeight="1">
      <c r="A661" s="22"/>
      <c r="B661" t="s">
        <v>587</v>
      </c>
      <c r="G661" s="1380"/>
      <c r="H661" s="1380"/>
      <c r="I661" s="1380"/>
      <c r="J661" s="1380"/>
      <c r="K661" s="1380"/>
      <c r="L661" s="1380"/>
      <c r="M661" s="1380"/>
      <c r="N661" s="1380"/>
      <c r="O661" s="1380"/>
      <c r="P661" s="1380"/>
      <c r="Q661" s="1380"/>
      <c r="R661" s="1380"/>
      <c r="T661" s="22"/>
      <c r="U661" t="s">
        <v>587</v>
      </c>
      <c r="Z661" s="1434"/>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2.95" customHeight="1">
      <c r="A662" s="22"/>
      <c r="B662" t="s">
        <v>17</v>
      </c>
      <c r="G662" s="1380"/>
      <c r="H662" s="1380"/>
      <c r="I662" s="1380"/>
      <c r="J662" s="1380"/>
      <c r="K662" s="1380"/>
      <c r="L662" s="1380"/>
      <c r="M662" s="1380"/>
      <c r="N662" s="1380"/>
      <c r="O662" s="1380"/>
      <c r="P662" s="1380"/>
      <c r="Q662" s="1380"/>
      <c r="R662" s="1380"/>
      <c r="T662" s="22"/>
      <c r="U662" t="s">
        <v>17</v>
      </c>
      <c r="Z662" s="1434"/>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2.95" customHeight="1">
      <c r="A663" s="22"/>
      <c r="B663" t="s">
        <v>316</v>
      </c>
      <c r="G663" s="1390"/>
      <c r="H663" s="1391"/>
      <c r="I663" s="1391"/>
      <c r="J663" s="1391"/>
      <c r="K663" s="1391"/>
      <c r="L663" s="1391"/>
      <c r="O663" s="33" t="s">
        <v>206</v>
      </c>
      <c r="P663" s="1465"/>
      <c r="Q663" s="1465"/>
      <c r="R663" s="1465"/>
      <c r="T663" s="22"/>
      <c r="U663" t="s">
        <v>316</v>
      </c>
      <c r="Z663" s="1390"/>
      <c r="AA663" s="1391"/>
      <c r="AB663" s="1391"/>
      <c r="AC663" s="1391"/>
      <c r="AD663" s="1391"/>
      <c r="AE663" s="1391"/>
      <c r="AH663" s="33" t="s">
        <v>206</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2.95"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2.95" customHeight="1">
      <c r="A665" s="22"/>
      <c r="B665" t="s">
        <v>20</v>
      </c>
      <c r="N665" s="1379" t="s">
        <v>675</v>
      </c>
      <c r="O665" s="1379"/>
      <c r="T665" s="22"/>
      <c r="U665" t="s">
        <v>20</v>
      </c>
      <c r="AG665" s="1379" t="s">
        <v>675</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2.95" customHeight="1">
      <c r="A667" s="55" t="s">
        <v>462</v>
      </c>
      <c r="B667" t="s">
        <v>470</v>
      </c>
      <c r="G667" s="1456">
        <f>C633</f>
        <v>0</v>
      </c>
      <c r="H667" s="1456"/>
      <c r="I667" s="1456"/>
      <c r="J667" s="1456"/>
      <c r="K667" s="1456"/>
      <c r="L667" s="1456"/>
      <c r="M667" s="1456"/>
      <c r="N667" s="1456"/>
      <c r="O667" s="1456"/>
      <c r="P667" s="1456"/>
      <c r="Q667" s="1456"/>
      <c r="R667" s="1456"/>
      <c r="T667" s="55" t="s">
        <v>463</v>
      </c>
      <c r="U667" t="s">
        <v>470</v>
      </c>
      <c r="Z667" s="1456">
        <f>C634</f>
        <v>0</v>
      </c>
      <c r="AA667" s="1456"/>
      <c r="AB667" s="1456"/>
      <c r="AC667" s="1456"/>
      <c r="AD667" s="1456"/>
      <c r="AE667" s="1456"/>
      <c r="AF667" s="1456"/>
      <c r="AG667" s="1456"/>
      <c r="AH667" s="1456"/>
      <c r="AI667" s="1456"/>
      <c r="AJ667" s="1456"/>
      <c r="AK667" s="1456"/>
      <c r="AZ667" s="3"/>
      <c r="BA667" s="118">
        <f t="shared" ref="BA667:BA699" si="48">IF($G718=0,"N/A",VLOOKUP($T$189,TC_Rent,(MATCH($B718,bedrooms,FALSE))))</f>
        <v>2920</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2920</v>
      </c>
      <c r="BB668" s="3"/>
      <c r="BC668" s="3"/>
      <c r="BD668" s="3"/>
      <c r="BE668" s="3"/>
      <c r="BF668" s="218"/>
      <c r="BG668" s="315">
        <f t="shared" ref="BG668:BG700" si="49">G718</f>
        <v>50</v>
      </c>
      <c r="BH668" s="319">
        <f t="shared" ref="BH668:BH702" si="50">IF($BG$703=0,0,BG668/$BG$703)</f>
        <v>0.10504201680672269</v>
      </c>
      <c r="BI668" s="320">
        <f t="shared" ref="BI668:BI691" si="51">IF(BH668=0,"",BH668*AC718)</f>
        <v>3.1512605042016806E-2</v>
      </c>
      <c r="BJ668" s="3"/>
      <c r="BK668" s="3"/>
      <c r="BL668" s="3"/>
      <c r="BM668" s="3"/>
      <c r="BN668" s="3"/>
      <c r="BO668" s="3"/>
      <c r="BT668" s="315">
        <f t="shared" ref="BT668:BT700" si="52">G718</f>
        <v>50</v>
      </c>
      <c r="BU668" s="319">
        <f t="shared" ref="BU668:BU702" si="53">IF($BT$703=0,0,BT668/$BT$703)</f>
        <v>0.10504201680672269</v>
      </c>
      <c r="BV668" s="320">
        <f t="shared" ref="BV668:BV700" si="54">IF(BU668=0,"",BU668*AH718)</f>
        <v>3.1512605042016806E-2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2.95" customHeight="1">
      <c r="A669" s="22"/>
      <c r="B669" t="s">
        <v>587</v>
      </c>
      <c r="G669" s="1380"/>
      <c r="H669" s="1380"/>
      <c r="I669" s="1380"/>
      <c r="J669" s="1380"/>
      <c r="K669" s="1380"/>
      <c r="L669" s="1380"/>
      <c r="M669" s="1380"/>
      <c r="N669" s="1380"/>
      <c r="O669" s="1380"/>
      <c r="P669" s="1380"/>
      <c r="Q669" s="1380"/>
      <c r="R669" s="1380"/>
      <c r="T669" s="22"/>
      <c r="U669" t="s">
        <v>587</v>
      </c>
      <c r="Z669" s="1434"/>
      <c r="AA669" s="1434"/>
      <c r="AB669" s="1434"/>
      <c r="AC669" s="1434"/>
      <c r="AD669" s="1434"/>
      <c r="AE669" s="1434"/>
      <c r="AF669" s="1434"/>
      <c r="AG669" s="1434"/>
      <c r="AH669" s="1434"/>
      <c r="AI669" s="1434"/>
      <c r="AJ669" s="1434"/>
      <c r="AK669" s="1434"/>
      <c r="AZ669" s="3"/>
      <c r="BA669" s="118">
        <f t="shared" si="48"/>
        <v>2920</v>
      </c>
      <c r="BB669" s="3"/>
      <c r="BC669" s="3"/>
      <c r="BD669" s="3"/>
      <c r="BE669" s="3"/>
      <c r="BF669" s="218"/>
      <c r="BG669" s="316">
        <f t="shared" si="49"/>
        <v>50</v>
      </c>
      <c r="BH669" s="319">
        <f t="shared" si="50"/>
        <v>0.10504201680672269</v>
      </c>
      <c r="BI669" s="320">
        <f t="shared" si="51"/>
        <v>5.2521008403361345E-2</v>
      </c>
      <c r="BJ669" s="3"/>
      <c r="BK669" s="3"/>
      <c r="BL669" s="3"/>
      <c r="BM669" s="3"/>
      <c r="BN669" s="3"/>
      <c r="BO669" s="3"/>
      <c r="BT669" s="316">
        <f t="shared" si="52"/>
        <v>50</v>
      </c>
      <c r="BU669" s="319">
        <f t="shared" si="53"/>
        <v>0.10504201680672269</v>
      </c>
      <c r="BV669" s="320">
        <f t="shared" si="54"/>
        <v>5.2521008403361345E-2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4"/>
      <c r="AA670" s="1434"/>
      <c r="AB670" s="1434"/>
      <c r="AC670" s="1434"/>
      <c r="AD670" s="1434"/>
      <c r="AE670" s="1434"/>
      <c r="AF670" s="1434"/>
      <c r="AG670" s="1434"/>
      <c r="AH670" s="1434"/>
      <c r="AI670" s="1434"/>
      <c r="AJ670" s="1434"/>
      <c r="AK670" s="1434"/>
      <c r="AZ670" s="3"/>
      <c r="BA670" s="118">
        <f t="shared" si="48"/>
        <v>2920</v>
      </c>
      <c r="BB670" s="3"/>
      <c r="BC670" s="3"/>
      <c r="BD670" s="3"/>
      <c r="BE670" s="3"/>
      <c r="BF670" s="218"/>
      <c r="BG670" s="316">
        <f t="shared" si="49"/>
        <v>180</v>
      </c>
      <c r="BH670" s="319">
        <f t="shared" si="50"/>
        <v>0.37815126050420167</v>
      </c>
      <c r="BI670" s="320">
        <f t="shared" si="51"/>
        <v>0.22689075630252098</v>
      </c>
      <c r="BJ670" s="3"/>
      <c r="BK670" s="3"/>
      <c r="BL670" s="3"/>
      <c r="BM670" s="3"/>
      <c r="BN670" s="3"/>
      <c r="BO670" s="3"/>
      <c r="BT670" s="316">
        <f t="shared" si="52"/>
        <v>180</v>
      </c>
      <c r="BU670" s="319">
        <f t="shared" si="53"/>
        <v>0.37815126050420167</v>
      </c>
      <c r="BV670" s="320">
        <f t="shared" si="54"/>
        <v>0.22689075630252098</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1638.546218487395</v>
      </c>
      <c r="ED670" s="1485"/>
      <c r="EE670" s="1485"/>
      <c r="EF670" s="1485"/>
      <c r="EG670" s="1485"/>
      <c r="EH670" s="1485">
        <f>SUMIF(EH635:EL669,"&gt;0")</f>
        <v>0</v>
      </c>
      <c r="EI670" s="1485"/>
      <c r="EJ670" s="1485"/>
      <c r="EK670" s="1485"/>
      <c r="EL670" s="1485"/>
      <c r="EM670" s="1485">
        <f>SUMIF(EM635:EQ669,"&gt;0")</f>
        <v>0</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2.95" customHeight="1">
      <c r="A671" s="22"/>
      <c r="B671" t="s">
        <v>316</v>
      </c>
      <c r="G671" s="1390"/>
      <c r="H671" s="1391"/>
      <c r="I671" s="1391"/>
      <c r="J671" s="1391"/>
      <c r="K671" s="1391"/>
      <c r="L671" s="1391"/>
      <c r="O671" s="33" t="s">
        <v>206</v>
      </c>
      <c r="P671" s="1465"/>
      <c r="Q671" s="1465"/>
      <c r="R671" s="1465"/>
      <c r="T671" s="22"/>
      <c r="U671" t="s">
        <v>316</v>
      </c>
      <c r="Z671" s="1391"/>
      <c r="AA671" s="1391"/>
      <c r="AB671" s="1391"/>
      <c r="AC671" s="1391"/>
      <c r="AD671" s="1391"/>
      <c r="AE671" s="1391"/>
      <c r="AH671" s="33" t="s">
        <v>206</v>
      </c>
      <c r="AI671" s="1465"/>
      <c r="AJ671" s="1465"/>
      <c r="AK671" s="1465"/>
      <c r="AZ671" s="3"/>
      <c r="BA671" s="118" t="str">
        <f t="shared" si="48"/>
        <v>N/A</v>
      </c>
      <c r="BB671" s="3"/>
      <c r="BC671" s="3"/>
      <c r="BD671" s="3"/>
      <c r="BE671" s="3"/>
      <c r="BF671" s="218"/>
      <c r="BG671" s="316">
        <f t="shared" si="49"/>
        <v>196</v>
      </c>
      <c r="BH671" s="319">
        <f t="shared" si="50"/>
        <v>0.41176470588235292</v>
      </c>
      <c r="BI671" s="320">
        <f t="shared" si="51"/>
        <v>0.28823529411764703</v>
      </c>
      <c r="BJ671" s="3"/>
      <c r="BK671" s="3"/>
      <c r="BL671" s="3"/>
      <c r="BM671" s="3"/>
      <c r="BN671" s="3"/>
      <c r="BO671" s="3"/>
      <c r="BT671" s="316">
        <f t="shared" si="52"/>
        <v>196</v>
      </c>
      <c r="BU671" s="319">
        <f t="shared" si="53"/>
        <v>0.41176470588235292</v>
      </c>
      <c r="BV671" s="320">
        <f t="shared" si="54"/>
        <v>0.28823529411764703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675</v>
      </c>
      <c r="O673" s="1379"/>
      <c r="T673" s="22"/>
      <c r="U673" t="s">
        <v>20</v>
      </c>
      <c r="AG673" s="1379" t="s">
        <v>675</v>
      </c>
      <c r="AH673" s="1379"/>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56">
        <f>C635</f>
        <v>0</v>
      </c>
      <c r="H675" s="1456"/>
      <c r="I675" s="1456"/>
      <c r="J675" s="1456"/>
      <c r="K675" s="1456"/>
      <c r="L675" s="1456"/>
      <c r="M675" s="1456"/>
      <c r="N675" s="1456"/>
      <c r="O675" s="1456"/>
      <c r="P675" s="1456"/>
      <c r="Q675" s="1456"/>
      <c r="R675" s="1456"/>
      <c r="T675" s="55" t="s">
        <v>652</v>
      </c>
      <c r="U675" t="s">
        <v>470</v>
      </c>
      <c r="Z675" s="1456">
        <f>C636</f>
        <v>0</v>
      </c>
      <c r="AA675" s="1456"/>
      <c r="AB675" s="1456"/>
      <c r="AC675" s="1456"/>
      <c r="AD675" s="1456"/>
      <c r="AE675" s="1456"/>
      <c r="AF675" s="1456"/>
      <c r="AG675" s="1456"/>
      <c r="AH675" s="1456"/>
      <c r="AI675" s="1456"/>
      <c r="AJ675" s="1456"/>
      <c r="AK675" s="1456"/>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0"/>
      <c r="H677" s="1380"/>
      <c r="I677" s="1380"/>
      <c r="J677" s="1380"/>
      <c r="K677" s="1380"/>
      <c r="L677" s="1380"/>
      <c r="M677" s="1380"/>
      <c r="N677" s="1380"/>
      <c r="O677" s="1380"/>
      <c r="P677" s="1380"/>
      <c r="Q677" s="1380"/>
      <c r="R677" s="1380"/>
      <c r="T677" s="22"/>
      <c r="U677" t="s">
        <v>587</v>
      </c>
      <c r="Z677" s="1434"/>
      <c r="AA677" s="1434"/>
      <c r="AB677" s="1434"/>
      <c r="AC677" s="1434"/>
      <c r="AD677" s="1434"/>
      <c r="AE677" s="1434"/>
      <c r="AF677" s="1434"/>
      <c r="AG677" s="1434"/>
      <c r="AH677" s="1434"/>
      <c r="AI677" s="1434"/>
      <c r="AJ677" s="1434"/>
      <c r="AK677" s="143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4"/>
      <c r="AA678" s="1434"/>
      <c r="AB678" s="1434"/>
      <c r="AC678" s="1434"/>
      <c r="AD678" s="1434"/>
      <c r="AE678" s="1434"/>
      <c r="AF678" s="1434"/>
      <c r="AG678" s="1434"/>
      <c r="AH678" s="1434"/>
      <c r="AI678" s="1434"/>
      <c r="AJ678" s="1434"/>
      <c r="AK678" s="143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1"/>
      <c r="H679" s="1391"/>
      <c r="I679" s="1391"/>
      <c r="J679" s="1391"/>
      <c r="K679" s="1391"/>
      <c r="L679" s="1391"/>
      <c r="O679" s="33" t="s">
        <v>206</v>
      </c>
      <c r="P679" s="1465"/>
      <c r="Q679" s="1465"/>
      <c r="R679" s="1465"/>
      <c r="T679" s="22"/>
      <c r="U679" t="s">
        <v>316</v>
      </c>
      <c r="Z679" s="1391"/>
      <c r="AA679" s="1391"/>
      <c r="AB679" s="1391"/>
      <c r="AC679" s="1391"/>
      <c r="AD679" s="1391"/>
      <c r="AE679" s="1391"/>
      <c r="AH679" s="33" t="s">
        <v>206</v>
      </c>
      <c r="AI679" s="1465"/>
      <c r="AJ679" s="1465"/>
      <c r="AK679" s="146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675</v>
      </c>
      <c r="O681" s="1379"/>
      <c r="T681" s="22"/>
      <c r="U681" t="s">
        <v>20</v>
      </c>
      <c r="AG681" s="1379" t="s">
        <v>675</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56">
        <f>C637</f>
        <v>0</v>
      </c>
      <c r="H683" s="1456"/>
      <c r="I683" s="1456"/>
      <c r="J683" s="1456"/>
      <c r="K683" s="1456"/>
      <c r="L683" s="1456"/>
      <c r="M683" s="1456"/>
      <c r="N683" s="1456"/>
      <c r="O683" s="1456"/>
      <c r="P683" s="1456"/>
      <c r="Q683" s="1456"/>
      <c r="R683" s="1456"/>
      <c r="T683" s="55" t="s">
        <v>363</v>
      </c>
      <c r="U683" t="s">
        <v>470</v>
      </c>
      <c r="Z683" s="1456">
        <f>C638</f>
        <v>0</v>
      </c>
      <c r="AA683" s="1456"/>
      <c r="AB683" s="1456"/>
      <c r="AC683" s="1456"/>
      <c r="AD683" s="1456"/>
      <c r="AE683" s="1456"/>
      <c r="AF683" s="1456"/>
      <c r="AG683" s="1456"/>
      <c r="AH683" s="1456"/>
      <c r="AI683" s="1456"/>
      <c r="AJ683" s="1456"/>
      <c r="AK683" s="1456"/>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0"/>
      <c r="H685" s="1380"/>
      <c r="I685" s="1380"/>
      <c r="J685" s="1380"/>
      <c r="K685" s="1380"/>
      <c r="L685" s="1380"/>
      <c r="M685" s="1380"/>
      <c r="N685" s="1380"/>
      <c r="O685" s="1380"/>
      <c r="P685" s="1380"/>
      <c r="Q685" s="1380"/>
      <c r="R685" s="1380"/>
      <c r="U685" t="s">
        <v>587</v>
      </c>
      <c r="Z685" s="1434"/>
      <c r="AA685" s="1434"/>
      <c r="AB685" s="1434"/>
      <c r="AC685" s="1434"/>
      <c r="AD685" s="1434"/>
      <c r="AE685" s="1434"/>
      <c r="AF685" s="1434"/>
      <c r="AG685" s="1434"/>
      <c r="AH685" s="1434"/>
      <c r="AI685" s="1434"/>
      <c r="AJ685" s="1434"/>
      <c r="AK685" s="143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4"/>
      <c r="AA686" s="1434"/>
      <c r="AB686" s="1434"/>
      <c r="AC686" s="1434"/>
      <c r="AD686" s="1434"/>
      <c r="AE686" s="1434"/>
      <c r="AF686" s="1434"/>
      <c r="AG686" s="1434"/>
      <c r="AH686" s="1434"/>
      <c r="AI686" s="1434"/>
      <c r="AJ686" s="1434"/>
      <c r="AK686" s="143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1"/>
      <c r="H687" s="1391"/>
      <c r="I687" s="1391"/>
      <c r="J687" s="1391"/>
      <c r="K687" s="1391"/>
      <c r="L687" s="1391"/>
      <c r="O687" s="33" t="s">
        <v>206</v>
      </c>
      <c r="P687" s="1465"/>
      <c r="Q687" s="1465"/>
      <c r="R687" s="1465"/>
      <c r="U687" t="s">
        <v>316</v>
      </c>
      <c r="Z687" s="1391"/>
      <c r="AA687" s="1391"/>
      <c r="AB687" s="1391"/>
      <c r="AC687" s="1391"/>
      <c r="AD687" s="1391"/>
      <c r="AE687" s="1391"/>
      <c r="AH687" s="33" t="s">
        <v>206</v>
      </c>
      <c r="AI687" s="1465"/>
      <c r="AJ687" s="1465"/>
      <c r="AK687" s="146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675</v>
      </c>
      <c r="O689" s="1379"/>
      <c r="U689" t="s">
        <v>20</v>
      </c>
      <c r="AG689" s="1379" t="s">
        <v>675</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79" t="s">
        <v>552</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79" t="s">
        <v>675</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768">
        <v>45637</v>
      </c>
      <c r="AF696" s="1768"/>
      <c r="AG696" s="1768"/>
      <c r="AH696" s="1768"/>
      <c r="AI696" s="176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487">
        <v>45812</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6">
        <f xml:space="preserve"> (105000000) / (188620499+4680810)</f>
        <v>0.54319342452047237</v>
      </c>
      <c r="AF699" s="1766"/>
      <c r="AG699" s="1766"/>
      <c r="AH699" s="1766"/>
      <c r="AI699" s="1766"/>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56" t="str">
        <f>H335</f>
        <v>California Municipal Finance Authority (CMFA)</v>
      </c>
      <c r="X700" s="1456"/>
      <c r="Y700" s="1456"/>
      <c r="Z700" s="1456"/>
      <c r="AA700" s="1456"/>
      <c r="AB700" s="1456"/>
      <c r="AC700" s="1456"/>
      <c r="AD700" s="1456"/>
      <c r="AE700" s="1456"/>
      <c r="AF700" s="1456"/>
      <c r="AG700" s="1456"/>
      <c r="AH700" s="1456"/>
      <c r="AI700" s="1456"/>
      <c r="AJ700" s="1456"/>
      <c r="AK700" s="145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79" t="s">
        <v>675</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912</v>
      </c>
      <c r="BG703" s="321">
        <f>SUM(BG668:BG702)</f>
        <v>476</v>
      </c>
      <c r="BH703" s="322">
        <f>SUM(BH668:BH702)</f>
        <v>1</v>
      </c>
      <c r="BI703" s="322">
        <f>SUM(BI668:BI702)</f>
        <v>0.5991596638655462</v>
      </c>
      <c r="BN703" s="3"/>
      <c r="BO703" s="3"/>
      <c r="BT703" s="893">
        <f>SUM(BT668:BT702)</f>
        <v>476</v>
      </c>
      <c r="BU703" s="322">
        <f>SUM(BU668:BU702)</f>
        <v>1</v>
      </c>
      <c r="BV703" s="322">
        <f>SUM(BV668:BV702)</f>
        <v>0.5991596638655462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206</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750" t="s">
        <v>1863</v>
      </c>
      <c r="L714" s="1751"/>
      <c r="M714" s="1751"/>
      <c r="N714" s="1752"/>
      <c r="O714" s="1381" t="s">
        <v>454</v>
      </c>
      <c r="P714" s="1382"/>
      <c r="Q714" s="1382"/>
      <c r="R714" s="1382"/>
      <c r="S714" s="1383"/>
      <c r="T714" s="1486" t="s">
        <v>2247</v>
      </c>
      <c r="U714" s="1382"/>
      <c r="V714" s="1382"/>
      <c r="W714" s="1383"/>
      <c r="X714" s="1486" t="s">
        <v>2249</v>
      </c>
      <c r="Y714" s="1382"/>
      <c r="Z714" s="1382"/>
      <c r="AA714" s="1382"/>
      <c r="AB714" s="1383"/>
      <c r="AC714" s="1486" t="s">
        <v>2248</v>
      </c>
      <c r="AD714" s="1382"/>
      <c r="AE714" s="1382"/>
      <c r="AF714" s="1382"/>
      <c r="AG714" s="1383"/>
      <c r="AH714" s="1486" t="s">
        <v>2250</v>
      </c>
      <c r="AI714" s="1382"/>
      <c r="AJ714" s="1383"/>
      <c r="AK714" s="1486" t="s">
        <v>2284</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3"/>
      <c r="L715" s="1754"/>
      <c r="M715" s="1754"/>
      <c r="N715" s="1755"/>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3"/>
      <c r="L716" s="1754"/>
      <c r="M716" s="1754"/>
      <c r="N716" s="1755"/>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3"/>
      <c r="L717" s="1754"/>
      <c r="M717" s="1754"/>
      <c r="N717" s="1755"/>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59">
        <v>50</v>
      </c>
      <c r="H718" s="1360"/>
      <c r="I718" s="1360"/>
      <c r="J718" s="1361"/>
      <c r="K718" s="1353">
        <v>474</v>
      </c>
      <c r="L718" s="1354"/>
      <c r="M718" s="1354"/>
      <c r="N718" s="1355"/>
      <c r="O718" s="1356">
        <v>765</v>
      </c>
      <c r="P718" s="1357"/>
      <c r="Q718" s="1357"/>
      <c r="R718" s="1357"/>
      <c r="S718" s="1358"/>
      <c r="T718" s="1356">
        <v>111</v>
      </c>
      <c r="U718" s="1357"/>
      <c r="V718" s="1357"/>
      <c r="W718" s="1358"/>
      <c r="X718" s="1367">
        <f t="shared" ref="X718:X741" si="59">O718+T718</f>
        <v>876</v>
      </c>
      <c r="Y718" s="1368"/>
      <c r="Z718" s="1368"/>
      <c r="AA718" s="1368"/>
      <c r="AB718" s="1369"/>
      <c r="AC718" s="1371">
        <v>0.3</v>
      </c>
      <c r="AD718" s="1372"/>
      <c r="AE718" s="1372"/>
      <c r="AF718" s="1372"/>
      <c r="AG718" s="1373"/>
      <c r="AH718" s="1395">
        <f t="shared" ref="AH718:AH751" si="60">IF($AC718&gt;0,($X718/$BA667), "")</f>
        <v>0.3</v>
      </c>
      <c r="AI718" s="1396"/>
      <c r="AJ718" s="1397"/>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325</v>
      </c>
      <c r="C719" s="1363"/>
      <c r="D719" s="1363"/>
      <c r="E719" s="1363"/>
      <c r="F719" s="1364"/>
      <c r="G719" s="1359">
        <v>50</v>
      </c>
      <c r="H719" s="1360"/>
      <c r="I719" s="1360"/>
      <c r="J719" s="1361"/>
      <c r="K719" s="1353">
        <v>474</v>
      </c>
      <c r="L719" s="1354"/>
      <c r="M719" s="1354"/>
      <c r="N719" s="1355"/>
      <c r="O719" s="1356">
        <v>1349</v>
      </c>
      <c r="P719" s="1357"/>
      <c r="Q719" s="1357"/>
      <c r="R719" s="1357"/>
      <c r="S719" s="1358"/>
      <c r="T719" s="1356">
        <v>111</v>
      </c>
      <c r="U719" s="1357"/>
      <c r="V719" s="1357"/>
      <c r="W719" s="1358"/>
      <c r="X719" s="1367">
        <f t="shared" si="59"/>
        <v>1460</v>
      </c>
      <c r="Y719" s="1368"/>
      <c r="Z719" s="1368"/>
      <c r="AA719" s="1368"/>
      <c r="AB719" s="1369"/>
      <c r="AC719" s="1371">
        <v>0.5</v>
      </c>
      <c r="AD719" s="1372"/>
      <c r="AE719" s="1372"/>
      <c r="AF719" s="1372"/>
      <c r="AG719" s="1373"/>
      <c r="AH719" s="1395">
        <f t="shared" si="60"/>
        <v>0.5</v>
      </c>
      <c r="AI719" s="1396"/>
      <c r="AJ719" s="1397"/>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325</v>
      </c>
      <c r="C720" s="1363"/>
      <c r="D720" s="1363"/>
      <c r="E720" s="1363"/>
      <c r="F720" s="1364"/>
      <c r="G720" s="1359">
        <v>180</v>
      </c>
      <c r="H720" s="1360"/>
      <c r="I720" s="1360"/>
      <c r="J720" s="1361"/>
      <c r="K720" s="1353">
        <v>474</v>
      </c>
      <c r="L720" s="1354"/>
      <c r="M720" s="1354"/>
      <c r="N720" s="1355"/>
      <c r="O720" s="1356">
        <v>1641</v>
      </c>
      <c r="P720" s="1357"/>
      <c r="Q720" s="1357"/>
      <c r="R720" s="1357"/>
      <c r="S720" s="1358"/>
      <c r="T720" s="1356">
        <v>111</v>
      </c>
      <c r="U720" s="1357"/>
      <c r="V720" s="1357"/>
      <c r="W720" s="1358"/>
      <c r="X720" s="1367">
        <f t="shared" si="59"/>
        <v>1752</v>
      </c>
      <c r="Y720" s="1368"/>
      <c r="Z720" s="1368"/>
      <c r="AA720" s="1368"/>
      <c r="AB720" s="1369"/>
      <c r="AC720" s="1371">
        <v>0.6</v>
      </c>
      <c r="AD720" s="1372"/>
      <c r="AE720" s="1372"/>
      <c r="AF720" s="1372"/>
      <c r="AG720" s="1373"/>
      <c r="AH720" s="1395">
        <f t="shared" si="60"/>
        <v>0.6</v>
      </c>
      <c r="AI720" s="1396"/>
      <c r="AJ720" s="1397"/>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325</v>
      </c>
      <c r="C721" s="1363"/>
      <c r="D721" s="1363"/>
      <c r="E721" s="1363"/>
      <c r="F721" s="1364"/>
      <c r="G721" s="1359">
        <v>196</v>
      </c>
      <c r="H721" s="1360"/>
      <c r="I721" s="1360"/>
      <c r="J721" s="1361"/>
      <c r="K721" s="1353">
        <v>474</v>
      </c>
      <c r="L721" s="1354"/>
      <c r="M721" s="1354"/>
      <c r="N721" s="1355"/>
      <c r="O721" s="1356">
        <v>1933</v>
      </c>
      <c r="P721" s="1357"/>
      <c r="Q721" s="1357"/>
      <c r="R721" s="1357"/>
      <c r="S721" s="1358"/>
      <c r="T721" s="1356">
        <v>111</v>
      </c>
      <c r="U721" s="1357"/>
      <c r="V721" s="1357"/>
      <c r="W721" s="1358"/>
      <c r="X721" s="1367">
        <f t="shared" si="59"/>
        <v>2044</v>
      </c>
      <c r="Y721" s="1368"/>
      <c r="Z721" s="1368"/>
      <c r="AA721" s="1368"/>
      <c r="AB721" s="1369"/>
      <c r="AC721" s="1371">
        <v>0.7</v>
      </c>
      <c r="AD721" s="1372"/>
      <c r="AE721" s="1372"/>
      <c r="AF721" s="1372"/>
      <c r="AG721" s="1373"/>
      <c r="AH721" s="1395">
        <f t="shared" si="60"/>
        <v>0.7</v>
      </c>
      <c r="AI721" s="1396"/>
      <c r="AJ721" s="1397"/>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c r="C722" s="1363"/>
      <c r="D722" s="1363"/>
      <c r="E722" s="1363"/>
      <c r="F722" s="1364"/>
      <c r="G722" s="1359"/>
      <c r="H722" s="1360"/>
      <c r="I722" s="1360"/>
      <c r="J722" s="1361"/>
      <c r="K722" s="1353"/>
      <c r="L722" s="1354"/>
      <c r="M722" s="1354"/>
      <c r="N722" s="1355"/>
      <c r="O722" s="1356"/>
      <c r="P722" s="1357"/>
      <c r="Q722" s="1357"/>
      <c r="R722" s="1357"/>
      <c r="S722" s="1358"/>
      <c r="T722" s="1356"/>
      <c r="U722" s="1357"/>
      <c r="V722" s="1357"/>
      <c r="W722" s="1358"/>
      <c r="X722" s="1367">
        <f t="shared" si="59"/>
        <v>0</v>
      </c>
      <c r="Y722" s="1368"/>
      <c r="Z722" s="1368"/>
      <c r="AA722" s="1368"/>
      <c r="AB722" s="1369"/>
      <c r="AC722" s="1371"/>
      <c r="AD722" s="1372"/>
      <c r="AE722" s="1372"/>
      <c r="AF722" s="1372"/>
      <c r="AG722" s="1373"/>
      <c r="AH722" s="1395" t="str">
        <f t="shared" si="60"/>
        <v/>
      </c>
      <c r="AI722" s="1396"/>
      <c r="AJ722" s="1397"/>
      <c r="AK722" s="1362"/>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c r="C723" s="1363"/>
      <c r="D723" s="1363"/>
      <c r="E723" s="1363"/>
      <c r="F723" s="1364"/>
      <c r="G723" s="1359"/>
      <c r="H723" s="1360"/>
      <c r="I723" s="1360"/>
      <c r="J723" s="1361"/>
      <c r="K723" s="1353"/>
      <c r="L723" s="1354"/>
      <c r="M723" s="1354"/>
      <c r="N723" s="1355"/>
      <c r="O723" s="1356"/>
      <c r="P723" s="1357"/>
      <c r="Q723" s="1357"/>
      <c r="R723" s="1357"/>
      <c r="S723" s="1358"/>
      <c r="T723" s="1356"/>
      <c r="U723" s="1357"/>
      <c r="V723" s="1357"/>
      <c r="W723" s="1358"/>
      <c r="X723" s="1367">
        <f t="shared" si="59"/>
        <v>0</v>
      </c>
      <c r="Y723" s="1368"/>
      <c r="Z723" s="1368"/>
      <c r="AA723" s="1368"/>
      <c r="AB723" s="1369"/>
      <c r="AC723" s="1371"/>
      <c r="AD723" s="1372"/>
      <c r="AE723" s="1372"/>
      <c r="AF723" s="1372"/>
      <c r="AG723" s="1373"/>
      <c r="AH723" s="1395" t="str">
        <f t="shared" si="60"/>
        <v/>
      </c>
      <c r="AI723" s="1396"/>
      <c r="AJ723" s="1397"/>
      <c r="AK723" s="1362"/>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59"/>
      <c r="H724" s="1360"/>
      <c r="I724" s="1360"/>
      <c r="J724" s="1361"/>
      <c r="K724" s="1353"/>
      <c r="L724" s="1354"/>
      <c r="M724" s="1354"/>
      <c r="N724" s="1355"/>
      <c r="O724" s="1356"/>
      <c r="P724" s="1357"/>
      <c r="Q724" s="1357"/>
      <c r="R724" s="1357"/>
      <c r="S724" s="1358"/>
      <c r="T724" s="1356"/>
      <c r="U724" s="1357"/>
      <c r="V724" s="1357"/>
      <c r="W724" s="1358"/>
      <c r="X724" s="1367">
        <f t="shared" si="59"/>
        <v>0</v>
      </c>
      <c r="Y724" s="1368"/>
      <c r="Z724" s="1368"/>
      <c r="AA724" s="1368"/>
      <c r="AB724" s="1369"/>
      <c r="AC724" s="1371"/>
      <c r="AD724" s="1372"/>
      <c r="AE724" s="1372"/>
      <c r="AF724" s="1372"/>
      <c r="AG724" s="1373"/>
      <c r="AH724" s="1395" t="str">
        <f t="shared" si="60"/>
        <v/>
      </c>
      <c r="AI724" s="1396"/>
      <c r="AJ724" s="1397"/>
      <c r="AK724" s="1362"/>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59"/>
      <c r="H725" s="1360"/>
      <c r="I725" s="1360"/>
      <c r="J725" s="1361"/>
      <c r="K725" s="1353"/>
      <c r="L725" s="1354"/>
      <c r="M725" s="1354"/>
      <c r="N725" s="1355"/>
      <c r="O725" s="1356"/>
      <c r="P725" s="1357"/>
      <c r="Q725" s="1357"/>
      <c r="R725" s="1357"/>
      <c r="S725" s="1358"/>
      <c r="T725" s="1356"/>
      <c r="U725" s="1357"/>
      <c r="V725" s="1357"/>
      <c r="W725" s="1358"/>
      <c r="X725" s="1367">
        <f t="shared" si="59"/>
        <v>0</v>
      </c>
      <c r="Y725" s="1368"/>
      <c r="Z725" s="1368"/>
      <c r="AA725" s="1368"/>
      <c r="AB725" s="1369"/>
      <c r="AC725" s="1371"/>
      <c r="AD725" s="1372"/>
      <c r="AE725" s="1372"/>
      <c r="AF725" s="1372"/>
      <c r="AG725" s="1373"/>
      <c r="AH725" s="1395" t="str">
        <f t="shared" si="60"/>
        <v/>
      </c>
      <c r="AI725" s="1396"/>
      <c r="AJ725" s="1397"/>
      <c r="AK725" s="1362"/>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9"/>
      <c r="H726" s="1360"/>
      <c r="I726" s="1360"/>
      <c r="J726" s="1361"/>
      <c r="K726" s="1353"/>
      <c r="L726" s="1354"/>
      <c r="M726" s="1354"/>
      <c r="N726" s="1355"/>
      <c r="O726" s="1356"/>
      <c r="P726" s="1357"/>
      <c r="Q726" s="1357"/>
      <c r="R726" s="1357"/>
      <c r="S726" s="1358"/>
      <c r="T726" s="1356"/>
      <c r="U726" s="1357"/>
      <c r="V726" s="1357"/>
      <c r="W726" s="1358"/>
      <c r="X726" s="1367">
        <f t="shared" si="59"/>
        <v>0</v>
      </c>
      <c r="Y726" s="1368"/>
      <c r="Z726" s="1368"/>
      <c r="AA726" s="1368"/>
      <c r="AB726" s="1369"/>
      <c r="AC726" s="1371"/>
      <c r="AD726" s="1372"/>
      <c r="AE726" s="1372"/>
      <c r="AF726" s="1372"/>
      <c r="AG726" s="1373"/>
      <c r="AH726" s="1395" t="str">
        <f t="shared" si="60"/>
        <v/>
      </c>
      <c r="AI726" s="1396"/>
      <c r="AJ726" s="1397"/>
      <c r="AK726" s="1362"/>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3"/>
      <c r="L727" s="1354"/>
      <c r="M727" s="1354"/>
      <c r="N727" s="1355"/>
      <c r="O727" s="1356"/>
      <c r="P727" s="1357"/>
      <c r="Q727" s="1357"/>
      <c r="R727" s="1357"/>
      <c r="S727" s="1358"/>
      <c r="T727" s="1356"/>
      <c r="U727" s="1357"/>
      <c r="V727" s="1357"/>
      <c r="W727" s="1358"/>
      <c r="X727" s="1367">
        <f t="shared" si="59"/>
        <v>0</v>
      </c>
      <c r="Y727" s="1368"/>
      <c r="Z727" s="1368"/>
      <c r="AA727" s="1368"/>
      <c r="AB727" s="1369"/>
      <c r="AC727" s="1371"/>
      <c r="AD727" s="1372"/>
      <c r="AE727" s="1372"/>
      <c r="AF727" s="1372"/>
      <c r="AG727" s="1373"/>
      <c r="AH727" s="1395" t="str">
        <f t="shared" si="60"/>
        <v/>
      </c>
      <c r="AI727" s="1396"/>
      <c r="AJ727" s="1397"/>
      <c r="AK727" s="1362"/>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3"/>
      <c r="L728" s="1354"/>
      <c r="M728" s="1354"/>
      <c r="N728" s="1355"/>
      <c r="O728" s="1356"/>
      <c r="P728" s="1357"/>
      <c r="Q728" s="1357"/>
      <c r="R728" s="1357"/>
      <c r="S728" s="1358"/>
      <c r="T728" s="1356"/>
      <c r="U728" s="1357"/>
      <c r="V728" s="1357"/>
      <c r="W728" s="1358"/>
      <c r="X728" s="1367">
        <f t="shared" si="59"/>
        <v>0</v>
      </c>
      <c r="Y728" s="1368"/>
      <c r="Z728" s="1368"/>
      <c r="AA728" s="1368"/>
      <c r="AB728" s="1369"/>
      <c r="AC728" s="1371"/>
      <c r="AD728" s="1372"/>
      <c r="AE728" s="1372"/>
      <c r="AF728" s="1372"/>
      <c r="AG728" s="1373"/>
      <c r="AH728" s="1395" t="str">
        <f t="shared" si="60"/>
        <v/>
      </c>
      <c r="AI728" s="1396"/>
      <c r="AJ728" s="1397"/>
      <c r="AK728" s="1362"/>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3"/>
      <c r="L729" s="1354"/>
      <c r="M729" s="1354"/>
      <c r="N729" s="1355"/>
      <c r="O729" s="1356"/>
      <c r="P729" s="1357"/>
      <c r="Q729" s="1357"/>
      <c r="R729" s="1357"/>
      <c r="S729" s="1358"/>
      <c r="T729" s="1356"/>
      <c r="U729" s="1357"/>
      <c r="V729" s="1357"/>
      <c r="W729" s="1358"/>
      <c r="X729" s="1367">
        <f t="shared" si="59"/>
        <v>0</v>
      </c>
      <c r="Y729" s="1368"/>
      <c r="Z729" s="1368"/>
      <c r="AA729" s="1368"/>
      <c r="AB729" s="1369"/>
      <c r="AC729" s="1371"/>
      <c r="AD729" s="1372"/>
      <c r="AE729" s="1372"/>
      <c r="AF729" s="1372"/>
      <c r="AG729" s="1373"/>
      <c r="AH729" s="1395" t="str">
        <f t="shared" si="60"/>
        <v/>
      </c>
      <c r="AI729" s="1396"/>
      <c r="AJ729" s="1397"/>
      <c r="AK729" s="1362"/>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3"/>
      <c r="L730" s="1354"/>
      <c r="M730" s="1354"/>
      <c r="N730" s="1355"/>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5" t="str">
        <f t="shared" si="60"/>
        <v/>
      </c>
      <c r="AI730" s="1396"/>
      <c r="AJ730" s="1397"/>
      <c r="AK730" s="1362"/>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3"/>
      <c r="L731" s="1354"/>
      <c r="M731" s="1354"/>
      <c r="N731" s="1355"/>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5" t="str">
        <f t="shared" si="60"/>
        <v/>
      </c>
      <c r="AI731" s="1396"/>
      <c r="AJ731" s="1397"/>
      <c r="AK731" s="1362"/>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3"/>
      <c r="L732" s="1354"/>
      <c r="M732" s="1354"/>
      <c r="N732" s="1355"/>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5" t="str">
        <f t="shared" si="60"/>
        <v/>
      </c>
      <c r="AI732" s="1396"/>
      <c r="AJ732" s="1397"/>
      <c r="AK732" s="1362"/>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3"/>
      <c r="L733" s="1354"/>
      <c r="M733" s="1354"/>
      <c r="N733" s="1355"/>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5" t="str">
        <f t="shared" si="60"/>
        <v/>
      </c>
      <c r="AI733" s="1396"/>
      <c r="AJ733" s="1397"/>
      <c r="AK733" s="1362"/>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3"/>
      <c r="L734" s="1354"/>
      <c r="M734" s="1354"/>
      <c r="N734" s="1355"/>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5" t="str">
        <f t="shared" si="60"/>
        <v/>
      </c>
      <c r="AI734" s="1396"/>
      <c r="AJ734" s="139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3"/>
      <c r="L735" s="1354"/>
      <c r="M735" s="1354"/>
      <c r="N735" s="1355"/>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5" t="str">
        <f t="shared" si="60"/>
        <v/>
      </c>
      <c r="AI735" s="1396"/>
      <c r="AJ735" s="139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3"/>
      <c r="L736" s="1354"/>
      <c r="M736" s="1354"/>
      <c r="N736" s="1355"/>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5" t="str">
        <f t="shared" si="60"/>
        <v/>
      </c>
      <c r="AI736" s="1396"/>
      <c r="AJ736" s="139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3"/>
      <c r="L737" s="1354"/>
      <c r="M737" s="1354"/>
      <c r="N737" s="1355"/>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5" t="str">
        <f t="shared" si="60"/>
        <v/>
      </c>
      <c r="AI737" s="1396"/>
      <c r="AJ737" s="139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3"/>
      <c r="L738" s="1354"/>
      <c r="M738" s="1354"/>
      <c r="N738" s="1355"/>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5" t="str">
        <f t="shared" si="60"/>
        <v/>
      </c>
      <c r="AI738" s="1396"/>
      <c r="AJ738" s="139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3"/>
      <c r="L739" s="1354"/>
      <c r="M739" s="1354"/>
      <c r="N739" s="1355"/>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5" t="str">
        <f t="shared" si="60"/>
        <v/>
      </c>
      <c r="AI739" s="1396"/>
      <c r="AJ739" s="139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3"/>
      <c r="L740" s="1354"/>
      <c r="M740" s="1354"/>
      <c r="N740" s="1355"/>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5" t="str">
        <f t="shared" si="60"/>
        <v/>
      </c>
      <c r="AI740" s="1396"/>
      <c r="AJ740" s="139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3"/>
      <c r="L741" s="1354"/>
      <c r="M741" s="1354"/>
      <c r="N741" s="1355"/>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5" t="str">
        <f t="shared" si="60"/>
        <v/>
      </c>
      <c r="AI741" s="1396"/>
      <c r="AJ741" s="139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3"/>
      <c r="L742" s="1354"/>
      <c r="M742" s="1354"/>
      <c r="N742" s="1355"/>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5" t="str">
        <f t="shared" si="60"/>
        <v/>
      </c>
      <c r="AI742" s="1396"/>
      <c r="AJ742" s="139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3"/>
      <c r="L743" s="1354"/>
      <c r="M743" s="1354"/>
      <c r="N743" s="1355"/>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5" t="str">
        <f t="shared" si="60"/>
        <v/>
      </c>
      <c r="AI743" s="1396"/>
      <c r="AJ743" s="139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3"/>
      <c r="L744" s="1354"/>
      <c r="M744" s="1354"/>
      <c r="N744" s="1355"/>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5" t="str">
        <f t="shared" si="60"/>
        <v/>
      </c>
      <c r="AI744" s="1396"/>
      <c r="AJ744" s="139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3"/>
      <c r="L745" s="1354"/>
      <c r="M745" s="1354"/>
      <c r="N745" s="1355"/>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5" t="str">
        <f t="shared" si="60"/>
        <v/>
      </c>
      <c r="AI745" s="1396"/>
      <c r="AJ745" s="139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3"/>
      <c r="L746" s="1354"/>
      <c r="M746" s="1354"/>
      <c r="N746" s="1355"/>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5" t="str">
        <f t="shared" si="60"/>
        <v/>
      </c>
      <c r="AI746" s="1396"/>
      <c r="AJ746" s="139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3"/>
      <c r="L747" s="1354"/>
      <c r="M747" s="1354"/>
      <c r="N747" s="1355"/>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5" t="str">
        <f t="shared" si="60"/>
        <v/>
      </c>
      <c r="AI747" s="1396"/>
      <c r="AJ747" s="139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3"/>
      <c r="L748" s="1354"/>
      <c r="M748" s="1354"/>
      <c r="N748" s="1355"/>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5" t="str">
        <f t="shared" si="60"/>
        <v/>
      </c>
      <c r="AI748" s="1396"/>
      <c r="AJ748" s="139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3"/>
      <c r="L749" s="1354"/>
      <c r="M749" s="1354"/>
      <c r="N749" s="1355"/>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5" t="str">
        <f t="shared" si="60"/>
        <v/>
      </c>
      <c r="AI749" s="1396"/>
      <c r="AJ749" s="139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3"/>
      <c r="L750" s="1354"/>
      <c r="M750" s="1354"/>
      <c r="N750" s="1355"/>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5" t="str">
        <f t="shared" si="60"/>
        <v/>
      </c>
      <c r="AI750" s="1396"/>
      <c r="AJ750" s="139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3"/>
      <c r="L751" s="1354"/>
      <c r="M751" s="1354"/>
      <c r="N751" s="1355"/>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5" t="str">
        <f t="shared" si="60"/>
        <v/>
      </c>
      <c r="AI751" s="1396"/>
      <c r="AJ751" s="139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3"/>
      <c r="L752" s="1354"/>
      <c r="M752" s="1354"/>
      <c r="N752" s="1355"/>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5" t="str">
        <f>IF($AC752&gt;0,($X752/$BA701), "")</f>
        <v/>
      </c>
      <c r="AI752" s="1396"/>
      <c r="AJ752" s="139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0" t="s">
        <v>125</v>
      </c>
      <c r="C753" s="1451"/>
      <c r="D753" s="1451"/>
      <c r="E753" s="1451"/>
      <c r="F753" s="1452"/>
      <c r="G753" s="1604">
        <f>SUM(G718:G752)</f>
        <v>476</v>
      </c>
      <c r="H753" s="1605"/>
      <c r="I753" s="1605"/>
      <c r="J753" s="1606"/>
      <c r="K753" s="937" t="s">
        <v>124</v>
      </c>
      <c r="L753" s="5"/>
      <c r="M753" s="5"/>
      <c r="N753" s="46"/>
      <c r="O753" s="1367">
        <f>SUMPRODUCT(G718:G752,O718:O752)</f>
        <v>779948</v>
      </c>
      <c r="P753" s="1368"/>
      <c r="Q753" s="1368"/>
      <c r="R753" s="1368"/>
      <c r="S753" s="1369"/>
      <c r="T753"/>
      <c r="U753"/>
      <c r="V753"/>
      <c r="W753"/>
      <c r="X753" s="939" t="s">
        <v>913</v>
      </c>
      <c r="Y753" s="938"/>
      <c r="Z753" s="938"/>
      <c r="AA753" s="938"/>
      <c r="AB753" s="940"/>
      <c r="AC753" s="1612">
        <f>BI703</f>
        <v>0.5991596638655462</v>
      </c>
      <c r="AD753" s="1613"/>
      <c r="AE753" s="1613"/>
      <c r="AF753" s="1613"/>
      <c r="AG753" s="1614"/>
      <c r="AH753" s="1612">
        <f>IFERROR(BV703,"")</f>
        <v>0.5991596638655462</v>
      </c>
      <c r="AI753" s="1613"/>
      <c r="AJ753" s="161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2178</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499">
        <f>CS634</f>
        <v>476</v>
      </c>
      <c r="P756" s="1499"/>
      <c r="Q756" s="1499"/>
      <c r="R756" s="1499"/>
      <c r="S756" s="1004"/>
      <c r="T756" s="1004"/>
      <c r="U756" s="118" t="s">
        <v>2177</v>
      </c>
      <c r="V756" s="1067"/>
      <c r="W756" s="1067"/>
      <c r="X756" s="1067"/>
      <c r="Y756" s="1068"/>
      <c r="Z756" s="1068"/>
      <c r="AA756" s="1068"/>
      <c r="AB756" s="1068"/>
      <c r="AC756" s="1067"/>
      <c r="AD756" s="1067"/>
      <c r="AE756" s="1067"/>
      <c r="AF756" s="1067"/>
      <c r="AG756" s="1619"/>
      <c r="AH756" s="1619"/>
      <c r="AI756" s="1619"/>
      <c r="AJ756" s="161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6" t="str">
        <f>IF(G753&lt;&gt;AG440,"! Total Low-Income Units in the Unit Mix Table above does not match the number of Total Low-Income Units on row #"&amp;TEXT(ROW(D440),"#"),"")</f>
        <v/>
      </c>
      <c r="D757" s="1416"/>
      <c r="E757" s="1416"/>
      <c r="F757" s="1416"/>
      <c r="G757" s="1416"/>
      <c r="H757" s="1416"/>
      <c r="I757" s="1416"/>
      <c r="J757" s="1416"/>
      <c r="K757" s="1416"/>
      <c r="L757" s="1416"/>
      <c r="M757" s="1416"/>
      <c r="N757" s="1416"/>
      <c r="O757" s="1416"/>
      <c r="P757" s="1416"/>
      <c r="Q757" s="1416"/>
      <c r="R757" s="1416"/>
      <c r="S757" s="1416"/>
      <c r="T757" s="1416"/>
      <c r="U757" s="1416"/>
      <c r="V757" s="1416"/>
      <c r="W757" s="1416"/>
      <c r="X757" s="1416"/>
      <c r="Y757" s="1416"/>
      <c r="Z757" s="1416"/>
      <c r="AA757" s="1416"/>
      <c r="AB757" s="1416"/>
      <c r="AC757" s="1416"/>
      <c r="AD757" s="1416"/>
      <c r="AE757" s="1416"/>
      <c r="AF757" s="1416"/>
      <c r="AG757" s="1416"/>
      <c r="AH757" s="1416"/>
      <c r="AI757" s="1416"/>
      <c r="AJ757" s="1416"/>
      <c r="AK757" s="1416"/>
      <c r="AL757" s="1416"/>
      <c r="AM757" s="141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6"/>
      <c r="D758" s="1416"/>
      <c r="E758" s="1416"/>
      <c r="F758" s="1416"/>
      <c r="G758" s="1416"/>
      <c r="H758" s="1416"/>
      <c r="I758" s="1416"/>
      <c r="J758" s="1416"/>
      <c r="K758" s="1416"/>
      <c r="L758" s="1416"/>
      <c r="M758" s="1416"/>
      <c r="N758" s="1416"/>
      <c r="O758" s="1416"/>
      <c r="P758" s="1416"/>
      <c r="Q758" s="1416"/>
      <c r="R758" s="1416"/>
      <c r="S758" s="1416"/>
      <c r="T758" s="1416"/>
      <c r="U758" s="1416"/>
      <c r="V758" s="1416"/>
      <c r="W758" s="1416"/>
      <c r="X758" s="1416"/>
      <c r="Y758" s="1416"/>
      <c r="Z758" s="1416"/>
      <c r="AA758" s="1416"/>
      <c r="AB758" s="1416"/>
      <c r="AC758" s="1416"/>
      <c r="AD758" s="1416"/>
      <c r="AE758" s="1416"/>
      <c r="AF758" s="1416"/>
      <c r="AG758" s="1416"/>
      <c r="AH758" s="1416"/>
      <c r="AI758" s="1416"/>
      <c r="AJ758" s="1416"/>
      <c r="AK758" s="1416"/>
      <c r="AL758" s="1416"/>
      <c r="AM758" s="141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7" t="s">
        <v>598</v>
      </c>
      <c r="AE759" s="1607"/>
      <c r="AF759" s="160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366" t="s">
        <v>285</v>
      </c>
      <c r="P769" s="1366"/>
      <c r="Q769" s="1366"/>
      <c r="R769" s="1366"/>
      <c r="S769" s="1366"/>
      <c r="T769" s="1750" t="s">
        <v>1863</v>
      </c>
      <c r="U769" s="1751"/>
      <c r="V769" s="1751"/>
      <c r="W769" s="1752"/>
      <c r="X769" s="1381" t="s">
        <v>454</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3"/>
      <c r="U770" s="1754"/>
      <c r="V770" s="1754"/>
      <c r="W770" s="1755"/>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3"/>
      <c r="U771" s="1754"/>
      <c r="V771" s="1754"/>
      <c r="W771" s="1755"/>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6"/>
      <c r="U772" s="1757"/>
      <c r="V772" s="1757"/>
      <c r="W772" s="1758"/>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164</v>
      </c>
      <c r="K773" s="1363"/>
      <c r="L773" s="1363"/>
      <c r="M773" s="1363"/>
      <c r="N773" s="1364"/>
      <c r="O773" s="1365">
        <v>5</v>
      </c>
      <c r="P773" s="1365"/>
      <c r="Q773" s="1365"/>
      <c r="R773" s="1365"/>
      <c r="S773" s="1365"/>
      <c r="T773" s="1353">
        <v>1046</v>
      </c>
      <c r="U773" s="1354"/>
      <c r="V773" s="1354"/>
      <c r="W773" s="1355"/>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3"/>
      <c r="U774" s="1354"/>
      <c r="V774" s="1354"/>
      <c r="W774" s="1355"/>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3"/>
      <c r="U775" s="1354"/>
      <c r="V775" s="1354"/>
      <c r="W775" s="1355"/>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3"/>
      <c r="U776" s="1354"/>
      <c r="V776" s="1354"/>
      <c r="W776" s="1355"/>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0" t="s">
        <v>125</v>
      </c>
      <c r="K777" s="1451"/>
      <c r="L777" s="1451"/>
      <c r="M777" s="1451"/>
      <c r="N777" s="1452"/>
      <c r="O777" s="1502">
        <f>SUM(O773:S776)</f>
        <v>5</v>
      </c>
      <c r="P777" s="1516"/>
      <c r="Q777" s="1516"/>
      <c r="R777" s="1516"/>
      <c r="S777" s="1503"/>
      <c r="X777" s="1450" t="s">
        <v>124</v>
      </c>
      <c r="Y777" s="1451"/>
      <c r="Z777" s="1451"/>
      <c r="AA777" s="1451"/>
      <c r="AB777" s="1452"/>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8" t="s">
        <v>675</v>
      </c>
      <c r="K779" s="1608"/>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366" t="s">
        <v>285</v>
      </c>
      <c r="P783" s="1366"/>
      <c r="Q783" s="1366"/>
      <c r="R783" s="1366"/>
      <c r="S783" s="1366"/>
      <c r="T783" s="1750" t="s">
        <v>1863</v>
      </c>
      <c r="U783" s="1751"/>
      <c r="V783" s="1751"/>
      <c r="W783" s="1752"/>
      <c r="X783" s="1381" t="s">
        <v>454</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3"/>
      <c r="U784" s="1754"/>
      <c r="V784" s="1754"/>
      <c r="W784" s="1755"/>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3"/>
      <c r="U785" s="1754"/>
      <c r="V785" s="1754"/>
      <c r="W785" s="1755"/>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6"/>
      <c r="U786" s="1757"/>
      <c r="V786" s="1757"/>
      <c r="W786" s="1758"/>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3"/>
      <c r="U787" s="1354"/>
      <c r="V787" s="1354"/>
      <c r="W787" s="1355"/>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3"/>
      <c r="U788" s="1354"/>
      <c r="V788" s="1354"/>
      <c r="W788" s="1355"/>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3"/>
      <c r="U789" s="1354"/>
      <c r="V789" s="1354"/>
      <c r="W789" s="1355"/>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3"/>
      <c r="U790" s="1354"/>
      <c r="V790" s="1354"/>
      <c r="W790" s="1355"/>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3"/>
      <c r="U791" s="1354"/>
      <c r="V791" s="1354"/>
      <c r="W791" s="1355"/>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3"/>
      <c r="U792" s="1354"/>
      <c r="V792" s="1354"/>
      <c r="W792" s="1355"/>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3"/>
      <c r="U793" s="1354"/>
      <c r="V793" s="1354"/>
      <c r="W793" s="1355"/>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3"/>
      <c r="U794" s="1354"/>
      <c r="V794" s="1354"/>
      <c r="W794" s="1355"/>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3"/>
      <c r="U795" s="1354"/>
      <c r="V795" s="1354"/>
      <c r="W795" s="1355"/>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3"/>
      <c r="U796" s="1354"/>
      <c r="V796" s="1354"/>
      <c r="W796" s="1355"/>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63" t="s">
        <v>476</v>
      </c>
      <c r="BO796" s="1664"/>
      <c r="BP796" s="3"/>
      <c r="BQ796" s="3"/>
      <c r="BR796" s="3"/>
      <c r="BS796" s="14" t="s">
        <v>640</v>
      </c>
      <c r="BT796" s="14"/>
      <c r="BU796" s="14"/>
      <c r="BV796" s="14"/>
      <c r="BW796" s="14"/>
      <c r="BX796" s="14"/>
      <c r="BY796" s="14"/>
      <c r="BZ796" s="14"/>
      <c r="CA796" s="14"/>
      <c r="CB796" s="1660" t="str">
        <f>T189</f>
        <v>Alameda</v>
      </c>
      <c r="CC796" s="1661"/>
      <c r="CD796" s="1661"/>
      <c r="CE796" s="1661"/>
      <c r="CF796" s="1661"/>
      <c r="CG796" s="1661"/>
      <c r="CH796" s="166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0" t="s">
        <v>125</v>
      </c>
      <c r="K797" s="1451"/>
      <c r="L797" s="1451"/>
      <c r="M797" s="1451"/>
      <c r="N797" s="1452"/>
      <c r="O797" s="1488">
        <f>SUM(O787:S796)</f>
        <v>0</v>
      </c>
      <c r="P797" s="1488"/>
      <c r="Q797" s="1488"/>
      <c r="R797" s="1488"/>
      <c r="S797" s="1488"/>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4" t="str">
        <f>IF(O797&lt;&gt;AG438,"! Total market rate units in the Unit Mix Table above does not match the number of  market rate units on row #"&amp;TEXT(ROW(D438),"#"),"")</f>
        <v/>
      </c>
      <c r="D798" s="1424"/>
      <c r="E798" s="1424"/>
      <c r="F798" s="1424"/>
      <c r="G798" s="1424"/>
      <c r="H798" s="1424"/>
      <c r="I798" s="1424"/>
      <c r="J798" s="1424"/>
      <c r="K798" s="1424"/>
      <c r="L798" s="1424"/>
      <c r="M798" s="1424"/>
      <c r="N798" s="1424"/>
      <c r="O798" s="1424"/>
      <c r="P798" s="1424"/>
      <c r="Q798" s="1424"/>
      <c r="R798" s="1424"/>
      <c r="S798" s="1424"/>
      <c r="T798" s="1424"/>
      <c r="U798" s="1424"/>
      <c r="V798" s="1424"/>
      <c r="W798" s="1424"/>
      <c r="X798" s="1424"/>
      <c r="Y798" s="1424"/>
      <c r="Z798" s="1424"/>
      <c r="AA798" s="1424"/>
      <c r="AB798" s="1424"/>
      <c r="AC798" s="1424"/>
      <c r="AD798" s="1424"/>
      <c r="AE798" s="1424"/>
      <c r="AF798" s="1424"/>
      <c r="AG798" s="1424"/>
      <c r="AH798" s="1424"/>
      <c r="AI798" s="1424"/>
      <c r="AJ798" s="1424"/>
      <c r="AK798" s="1424"/>
      <c r="AL798" s="1424"/>
      <c r="AM798" s="1424"/>
      <c r="AN798" s="142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4"/>
      <c r="D799" s="1424"/>
      <c r="E799" s="1424"/>
      <c r="F799" s="1424"/>
      <c r="G799" s="1424"/>
      <c r="H799" s="1424"/>
      <c r="I799" s="1424"/>
      <c r="J799" s="1424"/>
      <c r="K799" s="1424"/>
      <c r="L799" s="1424"/>
      <c r="M799" s="1424"/>
      <c r="N799" s="1424"/>
      <c r="O799" s="1424"/>
      <c r="P799" s="1424"/>
      <c r="Q799" s="1424"/>
      <c r="R799" s="1424"/>
      <c r="S799" s="1424"/>
      <c r="T799" s="1424"/>
      <c r="U799" s="1424"/>
      <c r="V799" s="1424"/>
      <c r="W799" s="1424"/>
      <c r="X799" s="1424"/>
      <c r="Y799" s="1424"/>
      <c r="Z799" s="1424"/>
      <c r="AA799" s="1424"/>
      <c r="AB799" s="1424"/>
      <c r="AC799" s="1424"/>
      <c r="AD799" s="1424"/>
      <c r="AE799" s="1424"/>
      <c r="AF799" s="1424"/>
      <c r="AG799" s="1424"/>
      <c r="AH799" s="1424"/>
      <c r="AI799" s="1424"/>
      <c r="AJ799" s="1424"/>
      <c r="AK799" s="1424"/>
      <c r="AL799" s="1424"/>
      <c r="AM799" s="1424"/>
      <c r="AN799" s="142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9">
        <f>O753+AC777+AC797</f>
        <v>779948</v>
      </c>
      <c r="Z800" s="1719"/>
      <c r="AA800" s="1719"/>
      <c r="AB800" s="1719"/>
      <c r="AC800" s="171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9">
        <f>(O753+AC777+AC797)*12</f>
        <v>9359376</v>
      </c>
      <c r="Z801" s="1719"/>
      <c r="AA801" s="1719"/>
      <c r="AB801" s="1719"/>
      <c r="AC801" s="171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0"/>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9"/>
      <c r="AA808" s="1679"/>
      <c r="AB808" s="1679"/>
      <c r="AC808" s="1679"/>
      <c r="AD808" s="1679"/>
      <c r="AE808" s="172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v>48100</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v>7525</v>
      </c>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v>7525</v>
      </c>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2733</v>
      </c>
      <c r="Q816" s="1393"/>
      <c r="R816" s="1393"/>
      <c r="S816" s="1393"/>
      <c r="T816" s="1393"/>
      <c r="U816" s="1393"/>
      <c r="V816" s="1393"/>
      <c r="W816" s="1393"/>
      <c r="X816" s="1393"/>
      <c r="Y816" s="1394"/>
      <c r="Z816" s="1513">
        <v>9000</v>
      </c>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72150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616">
        <f>Z817+Y801+Z809</f>
        <v>9431526</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7" t="s">
        <v>126</v>
      </c>
      <c r="N823" s="1627"/>
      <c r="O823" s="1627"/>
      <c r="P823" s="1628"/>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49" t="s">
        <v>335</v>
      </c>
      <c r="AH823" s="1749"/>
      <c r="AI823" s="1749"/>
      <c r="AJ823" s="174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9"/>
      <c r="N824" s="1629"/>
      <c r="O824" s="1629"/>
      <c r="P824" s="1630"/>
      <c r="Q824" s="1374"/>
      <c r="R824" s="1374"/>
      <c r="S824" s="1374"/>
      <c r="T824" s="1374"/>
      <c r="U824" s="1374"/>
      <c r="V824" s="1374"/>
      <c r="W824" s="1374"/>
      <c r="X824" s="1374"/>
      <c r="Y824" s="1374"/>
      <c r="Z824" s="1374"/>
      <c r="AA824" s="1374"/>
      <c r="AB824" s="1374"/>
      <c r="AC824" s="1374"/>
      <c r="AD824" s="1374"/>
      <c r="AE824" s="1374"/>
      <c r="AF824" s="1374"/>
      <c r="AG824" s="1749"/>
      <c r="AH824" s="1749"/>
      <c r="AI824" s="1749"/>
      <c r="AJ824" s="1749"/>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1" t="s">
        <v>40</v>
      </c>
      <c r="D825" s="1456"/>
      <c r="E825" s="1456"/>
      <c r="F825" s="1456"/>
      <c r="G825" s="1456"/>
      <c r="H825" s="1456"/>
      <c r="I825" s="48"/>
      <c r="J825" s="48"/>
      <c r="K825" s="48"/>
      <c r="L825" s="49"/>
      <c r="M825" s="1609"/>
      <c r="N825" s="1609"/>
      <c r="O825" s="1609"/>
      <c r="P825" s="1609"/>
      <c r="Q825" s="1609">
        <v>37</v>
      </c>
      <c r="R825" s="1609"/>
      <c r="S825" s="1609"/>
      <c r="T825" s="1609"/>
      <c r="U825" s="1609"/>
      <c r="V825" s="1609"/>
      <c r="W825" s="1609"/>
      <c r="X825" s="1609"/>
      <c r="Y825" s="1609"/>
      <c r="Z825" s="1609"/>
      <c r="AA825" s="1609"/>
      <c r="AB825" s="1609"/>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5" t="s">
        <v>41</v>
      </c>
      <c r="D826" s="1611"/>
      <c r="E826" s="1611"/>
      <c r="F826" s="1611"/>
      <c r="G826" s="1611"/>
      <c r="H826" s="1611"/>
      <c r="I826" s="5"/>
      <c r="J826" s="5"/>
      <c r="K826" s="5"/>
      <c r="L826" s="46"/>
      <c r="M826" s="1609"/>
      <c r="N826" s="1609"/>
      <c r="O826" s="1609"/>
      <c r="P826" s="1609"/>
      <c r="Q826" s="1609"/>
      <c r="R826" s="1609"/>
      <c r="S826" s="1609"/>
      <c r="T826" s="1609"/>
      <c r="U826" s="1609"/>
      <c r="V826" s="1609"/>
      <c r="W826" s="1609"/>
      <c r="X826" s="1609"/>
      <c r="Y826" s="1609"/>
      <c r="Z826" s="1609"/>
      <c r="AA826" s="1609"/>
      <c r="AB826" s="1609"/>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5" t="s">
        <v>42</v>
      </c>
      <c r="D827" s="1611"/>
      <c r="E827" s="1611"/>
      <c r="F827" s="1611"/>
      <c r="G827" s="1611"/>
      <c r="H827" s="1611"/>
      <c r="I827" s="60"/>
      <c r="J827" s="60"/>
      <c r="K827" s="60"/>
      <c r="L827" s="61"/>
      <c r="M827" s="1609"/>
      <c r="N827" s="1609"/>
      <c r="O827" s="1609"/>
      <c r="P827" s="1609"/>
      <c r="Q827" s="1609">
        <v>9</v>
      </c>
      <c r="R827" s="1609"/>
      <c r="S827" s="1609"/>
      <c r="T827" s="1609"/>
      <c r="U827" s="1609"/>
      <c r="V827" s="1609"/>
      <c r="W827" s="1609"/>
      <c r="X827" s="1609"/>
      <c r="Y827" s="1609"/>
      <c r="Z827" s="1609"/>
      <c r="AA827" s="1609"/>
      <c r="AB827" s="1609"/>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5" t="s">
        <v>769</v>
      </c>
      <c r="D828" s="1611"/>
      <c r="E828" s="1611"/>
      <c r="F828" s="1611"/>
      <c r="G828" s="1611"/>
      <c r="H828" s="1611"/>
      <c r="I828" s="60"/>
      <c r="J828" s="60"/>
      <c r="K828" s="60"/>
      <c r="L828" s="61"/>
      <c r="M828" s="1609"/>
      <c r="N828" s="1609"/>
      <c r="O828" s="1609"/>
      <c r="P828" s="1609"/>
      <c r="Q828" s="1609"/>
      <c r="R828" s="1609"/>
      <c r="S828" s="1609"/>
      <c r="T828" s="1609"/>
      <c r="U828" s="1609"/>
      <c r="V828" s="1609"/>
      <c r="W828" s="1609"/>
      <c r="X828" s="1609"/>
      <c r="Y828" s="1609"/>
      <c r="Z828" s="1609"/>
      <c r="AA828" s="1609"/>
      <c r="AB828" s="1609"/>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5" t="s">
        <v>466</v>
      </c>
      <c r="D829" s="1611"/>
      <c r="E829" s="1611"/>
      <c r="F829" s="1611"/>
      <c r="G829" s="1611"/>
      <c r="H829" s="1611"/>
      <c r="I829" s="60"/>
      <c r="J829" s="60"/>
      <c r="K829" s="60"/>
      <c r="L829" s="61"/>
      <c r="M829" s="1609"/>
      <c r="N829" s="1609"/>
      <c r="O829" s="1609"/>
      <c r="P829" s="1609"/>
      <c r="Q829" s="1609">
        <v>65</v>
      </c>
      <c r="R829" s="1609"/>
      <c r="S829" s="1609"/>
      <c r="T829" s="1609"/>
      <c r="U829" s="1609"/>
      <c r="V829" s="1609"/>
      <c r="W829" s="1609"/>
      <c r="X829" s="1609"/>
      <c r="Y829" s="1609"/>
      <c r="Z829" s="1609"/>
      <c r="AA829" s="1609"/>
      <c r="AB829" s="1609"/>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0" t="s">
        <v>790</v>
      </c>
      <c r="D830" s="1611"/>
      <c r="E830" s="1611"/>
      <c r="F830" s="1611"/>
      <c r="G830" s="1611"/>
      <c r="H830" s="1611"/>
      <c r="I830" s="60"/>
      <c r="J830" s="60"/>
      <c r="K830" s="60"/>
      <c r="L830" s="61"/>
      <c r="M830" s="1609"/>
      <c r="N830" s="1609"/>
      <c r="O830" s="1609"/>
      <c r="P830" s="1609"/>
      <c r="Q830" s="1609"/>
      <c r="R830" s="1609"/>
      <c r="S830" s="1609"/>
      <c r="T830" s="1609"/>
      <c r="U830" s="1609"/>
      <c r="V830" s="1609"/>
      <c r="W830" s="1609"/>
      <c r="X830" s="1609"/>
      <c r="Y830" s="1609"/>
      <c r="Z830" s="1609"/>
      <c r="AA830" s="1609"/>
      <c r="AB830" s="1609"/>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2"/>
      <c r="G831" s="1393"/>
      <c r="H831" s="1393"/>
      <c r="I831" s="1393"/>
      <c r="J831" s="1393"/>
      <c r="K831" s="1393"/>
      <c r="L831" s="1393"/>
      <c r="M831" s="1609"/>
      <c r="N831" s="1609"/>
      <c r="O831" s="1609"/>
      <c r="P831" s="1609"/>
      <c r="Q831" s="1609"/>
      <c r="R831" s="1609"/>
      <c r="S831" s="1609"/>
      <c r="T831" s="1609"/>
      <c r="U831" s="1609"/>
      <c r="V831" s="1609"/>
      <c r="W831" s="1609"/>
      <c r="X831" s="1609"/>
      <c r="Y831" s="1609"/>
      <c r="Z831" s="1609"/>
      <c r="AA831" s="1609"/>
      <c r="AB831" s="1609"/>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0" t="s">
        <v>124</v>
      </c>
      <c r="D832" s="1451"/>
      <c r="E832" s="1451"/>
      <c r="F832" s="1451"/>
      <c r="G832" s="1451"/>
      <c r="H832" s="1451"/>
      <c r="I832" s="1451"/>
      <c r="J832" s="1451"/>
      <c r="K832" s="1451"/>
      <c r="L832" s="1452"/>
      <c r="M832" s="1626">
        <f>SUM(M825:P831)</f>
        <v>0</v>
      </c>
      <c r="N832" s="1626"/>
      <c r="O832" s="1626"/>
      <c r="P832" s="1626"/>
      <c r="Q832" s="1626">
        <f>SUM(Q825:T831)</f>
        <v>111</v>
      </c>
      <c r="R832" s="1626"/>
      <c r="S832" s="1626"/>
      <c r="T832" s="1626"/>
      <c r="U832" s="1626">
        <f>SUM(U825:X831)</f>
        <v>0</v>
      </c>
      <c r="V832" s="1626"/>
      <c r="W832" s="1626"/>
      <c r="X832" s="1626"/>
      <c r="Y832" s="1626">
        <f>SUM(Y825:AB831)</f>
        <v>0</v>
      </c>
      <c r="Z832" s="1626"/>
      <c r="AA832" s="1626"/>
      <c r="AB832" s="1626"/>
      <c r="AC832" s="1626">
        <f>SUM(AC825:AF831)</f>
        <v>0</v>
      </c>
      <c r="AD832" s="1626"/>
      <c r="AE832" s="1626"/>
      <c r="AF832" s="1626"/>
      <c r="AG832" s="1626">
        <f>SUM(AG825:AJ831)</f>
        <v>0</v>
      </c>
      <c r="AH832" s="1626"/>
      <c r="AI832" s="1626"/>
      <c r="AJ832" s="1626"/>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6" t="s">
        <v>2774</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f>ROUNDDOWN(BC939*2,2)</f>
        <v>0</v>
      </c>
      <c r="BJ841" s="1665"/>
      <c r="BK841" s="1665"/>
      <c r="BL841" s="1665"/>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55">
        <v>8700</v>
      </c>
      <c r="X842" s="1555"/>
      <c r="Y842" s="1555"/>
      <c r="Z842" s="1555"/>
      <c r="AA842" s="1555"/>
      <c r="AB842" s="1555"/>
      <c r="AC842" s="1555"/>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55">
        <v>2000</v>
      </c>
      <c r="X843" s="1555"/>
      <c r="Y843" s="1555"/>
      <c r="Z843" s="1555"/>
      <c r="AA843" s="1555"/>
      <c r="AB843" s="1555"/>
      <c r="AC843" s="155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55">
        <v>5500</v>
      </c>
      <c r="X844" s="1555"/>
      <c r="Y844" s="1555"/>
      <c r="Z844" s="1555"/>
      <c r="AA844" s="1555"/>
      <c r="AB844" s="1555"/>
      <c r="AC844" s="1555"/>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55"/>
      <c r="X845" s="1555"/>
      <c r="Y845" s="1555"/>
      <c r="Z845" s="1555"/>
      <c r="AA845" s="1555"/>
      <c r="AB845" s="1555"/>
      <c r="AC845" s="1555"/>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2" t="s">
        <v>2734</v>
      </c>
      <c r="N846" s="1393"/>
      <c r="O846" s="1393"/>
      <c r="P846" s="1393"/>
      <c r="Q846" s="1393"/>
      <c r="R846" s="1393"/>
      <c r="S846" s="1393"/>
      <c r="T846" s="1393"/>
      <c r="U846" s="1393"/>
      <c r="V846" s="1394"/>
      <c r="W846" s="1555">
        <v>55770</v>
      </c>
      <c r="X846" s="1555"/>
      <c r="Y846" s="1555"/>
      <c r="Z846" s="1555"/>
      <c r="AA846" s="1555"/>
      <c r="AB846" s="1555"/>
      <c r="AC846" s="1555"/>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16">
        <f>SUM(W842:AC846)</f>
        <v>71970</v>
      </c>
      <c r="X847" s="1617"/>
      <c r="Y847" s="1617"/>
      <c r="Z847" s="1617"/>
      <c r="AA847" s="1617"/>
      <c r="AB847" s="1617"/>
      <c r="AC847" s="1618"/>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6"/>
      <c r="BH848" s="1646"/>
      <c r="BI848" s="1646"/>
      <c r="BJ848" s="1646"/>
      <c r="BK848" s="1646"/>
      <c r="BL848" s="1646"/>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0" t="s">
        <v>345</v>
      </c>
      <c r="K849" s="1451"/>
      <c r="L849" s="1451"/>
      <c r="M849" s="1451"/>
      <c r="N849" s="1451"/>
      <c r="O849" s="1451"/>
      <c r="P849" s="1451"/>
      <c r="Q849" s="1451"/>
      <c r="R849" s="1451"/>
      <c r="S849" s="1451"/>
      <c r="T849" s="1451"/>
      <c r="U849" s="1451"/>
      <c r="V849" s="1452"/>
      <c r="W849" s="1513">
        <v>266600</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16">
        <v>500</v>
      </c>
      <c r="X851" s="1716"/>
      <c r="Y851" s="1716"/>
      <c r="Z851" s="1716"/>
      <c r="AA851" s="1716"/>
      <c r="AB851" s="1716"/>
      <c r="AC851" s="1716"/>
      <c r="AZ851" s="1743">
        <f>SUM(AZ818:AZ846)</f>
        <v>7.5000000000000011E-2</v>
      </c>
      <c r="BA851" s="1743"/>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16"/>
      <c r="X852" s="1716"/>
      <c r="Y852" s="1716"/>
      <c r="Z852" s="1716"/>
      <c r="AA852" s="1716"/>
      <c r="AB852" s="1716"/>
      <c r="AC852" s="1716"/>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16">
        <v>370400</v>
      </c>
      <c r="X853" s="1716"/>
      <c r="Y853" s="1716"/>
      <c r="Z853" s="1716"/>
      <c r="AA853" s="1716"/>
      <c r="AB853" s="1716"/>
      <c r="AC853" s="1716"/>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16">
        <v>404000</v>
      </c>
      <c r="X854" s="1716"/>
      <c r="Y854" s="1716"/>
      <c r="Z854" s="1716"/>
      <c r="AA854" s="1716"/>
      <c r="AB854" s="1716"/>
      <c r="AC854" s="171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15">
        <f>SUM(W851:AC854)</f>
        <v>774900</v>
      </c>
      <c r="X855" s="1715"/>
      <c r="Y855" s="1715"/>
      <c r="Z855" s="1715"/>
      <c r="AA855" s="1715"/>
      <c r="AB855" s="1715"/>
      <c r="AC855" s="171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20">
        <v>336700</v>
      </c>
      <c r="X857" s="1621"/>
      <c r="Y857" s="1621"/>
      <c r="Z857" s="1621"/>
      <c r="AA857" s="1621"/>
      <c r="AB857" s="1621"/>
      <c r="AC857" s="162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744">
        <v>6.25</v>
      </c>
      <c r="U858" s="1702"/>
      <c r="V858" s="174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20">
        <v>230880</v>
      </c>
      <c r="X859" s="1621"/>
      <c r="Y859" s="1621"/>
      <c r="Z859" s="1621"/>
      <c r="AA859" s="1621"/>
      <c r="AB859" s="1621"/>
      <c r="AC859" s="162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744">
        <v>5</v>
      </c>
      <c r="U860" s="1702"/>
      <c r="V860" s="174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2" t="s">
        <v>2735</v>
      </c>
      <c r="N861" s="1393"/>
      <c r="O861" s="1393"/>
      <c r="P861" s="1393"/>
      <c r="Q861" s="1393"/>
      <c r="R861" s="1393"/>
      <c r="S861" s="1393"/>
      <c r="T861" s="1393"/>
      <c r="U861" s="1393"/>
      <c r="V861" s="1394"/>
      <c r="W861" s="1620">
        <v>132500</v>
      </c>
      <c r="X861" s="1621"/>
      <c r="Y861" s="1621"/>
      <c r="Z861" s="1621"/>
      <c r="AA861" s="1621"/>
      <c r="AB861" s="1621"/>
      <c r="AC861" s="162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46">
        <f>SUM(W857:AC861)</f>
        <v>700080</v>
      </c>
      <c r="X862" s="1747"/>
      <c r="Y862" s="1747"/>
      <c r="Z862" s="1747"/>
      <c r="AA862" s="1747"/>
      <c r="AB862" s="1747"/>
      <c r="AC862" s="174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20">
        <v>216450</v>
      </c>
      <c r="X863" s="1621"/>
      <c r="Y863" s="1621"/>
      <c r="Z863" s="1621"/>
      <c r="AA863" s="1621"/>
      <c r="AB863" s="1621"/>
      <c r="AC863" s="1622"/>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555">
        <v>24050</v>
      </c>
      <c r="X865" s="1555"/>
      <c r="Y865" s="1555"/>
      <c r="Z865" s="1555"/>
      <c r="AA865" s="1555"/>
      <c r="AB865" s="1555"/>
      <c r="AC865" s="155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55">
        <v>309150</v>
      </c>
      <c r="X866" s="1555"/>
      <c r="Y866" s="1555"/>
      <c r="Z866" s="1555"/>
      <c r="AA866" s="1555"/>
      <c r="AB866" s="1555"/>
      <c r="AC866" s="155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55">
        <v>202000</v>
      </c>
      <c r="X867" s="1555"/>
      <c r="Y867" s="1555"/>
      <c r="Z867" s="1555"/>
      <c r="AA867" s="1555"/>
      <c r="AB867" s="1555"/>
      <c r="AC867" s="155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55">
        <v>5300</v>
      </c>
      <c r="X868" s="1555"/>
      <c r="Y868" s="1555"/>
      <c r="Z868" s="1555"/>
      <c r="AA868" s="1555"/>
      <c r="AB868" s="1555"/>
      <c r="AC868" s="155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55">
        <v>168400</v>
      </c>
      <c r="X869" s="1555"/>
      <c r="Y869" s="1555"/>
      <c r="Z869" s="1555"/>
      <c r="AA869" s="1555"/>
      <c r="AB869" s="1555"/>
      <c r="AC869" s="155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55">
        <v>3500</v>
      </c>
      <c r="X870" s="1555"/>
      <c r="Y870" s="1555"/>
      <c r="Z870" s="1555"/>
      <c r="AA870" s="1555"/>
      <c r="AB870" s="1555"/>
      <c r="AC870" s="155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2" t="s">
        <v>2736</v>
      </c>
      <c r="N871" s="1393"/>
      <c r="O871" s="1393"/>
      <c r="P871" s="1393"/>
      <c r="Q871" s="1393"/>
      <c r="R871" s="1393"/>
      <c r="S871" s="1393"/>
      <c r="T871" s="1393"/>
      <c r="U871" s="1393"/>
      <c r="V871" s="1394"/>
      <c r="W871" s="1555">
        <v>235700</v>
      </c>
      <c r="X871" s="1555"/>
      <c r="Y871" s="1555"/>
      <c r="Z871" s="1555"/>
      <c r="AA871" s="1555"/>
      <c r="AB871" s="1555"/>
      <c r="AC871" s="155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19">
        <f>SUM(W865:AC871)</f>
        <v>948100</v>
      </c>
      <c r="X872" s="1719"/>
      <c r="Y872" s="1719"/>
      <c r="Z872" s="1719"/>
      <c r="AA872" s="1719"/>
      <c r="AB872" s="1719"/>
      <c r="AC872" s="171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392" t="s">
        <v>2737</v>
      </c>
      <c r="N874" s="1393"/>
      <c r="O874" s="1393"/>
      <c r="P874" s="1393"/>
      <c r="Q874" s="1393"/>
      <c r="R874" s="1393"/>
      <c r="S874" s="1393"/>
      <c r="T874" s="1393"/>
      <c r="U874" s="1393"/>
      <c r="V874" s="1394"/>
      <c r="W874" s="1513">
        <v>1150</v>
      </c>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392" t="s">
        <v>334</v>
      </c>
      <c r="N875" s="1393"/>
      <c r="O875" s="1393"/>
      <c r="P875" s="1393"/>
      <c r="Q875" s="1393"/>
      <c r="R875" s="1393"/>
      <c r="S875" s="1393"/>
      <c r="T875" s="1393"/>
      <c r="U875" s="1393"/>
      <c r="V875" s="1394"/>
      <c r="W875" s="1513"/>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2" t="s">
        <v>334</v>
      </c>
      <c r="N876" s="1393"/>
      <c r="O876" s="1393"/>
      <c r="P876" s="1393"/>
      <c r="Q876" s="1393"/>
      <c r="R876" s="1393"/>
      <c r="S876" s="1393"/>
      <c r="T876" s="1393"/>
      <c r="U876" s="1393"/>
      <c r="V876" s="1394"/>
      <c r="W876" s="1513"/>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2" t="s">
        <v>334</v>
      </c>
      <c r="N877" s="1393"/>
      <c r="O877" s="1393"/>
      <c r="P877" s="1393"/>
      <c r="Q877" s="1393"/>
      <c r="R877" s="1393"/>
      <c r="S877" s="1393"/>
      <c r="T877" s="1393"/>
      <c r="U877" s="1393"/>
      <c r="V877" s="1394"/>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2" t="s">
        <v>334</v>
      </c>
      <c r="N878" s="1393"/>
      <c r="O878" s="1393"/>
      <c r="P878" s="1393"/>
      <c r="Q878" s="1393"/>
      <c r="R878" s="1393"/>
      <c r="S878" s="1393"/>
      <c r="T878" s="1393"/>
      <c r="U878" s="1393"/>
      <c r="V878" s="1394"/>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16">
        <f>SUM(W874:AC878)</f>
        <v>1150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17">
        <f>W847+W855+W862+W863+W872+W879+W849</f>
        <v>2979250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3">
        <f>O797+O777+G753</f>
        <v>481</v>
      </c>
      <c r="AD884" s="1733"/>
      <c r="AE884" s="1733"/>
      <c r="AF884" s="1733"/>
      <c r="AG884" s="1733"/>
      <c r="AH884" s="173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7" t="s">
        <v>32</v>
      </c>
      <c r="F885" s="1637"/>
      <c r="G885" s="1637"/>
      <c r="H885" s="1637"/>
      <c r="I885" s="1637"/>
      <c r="J885" s="1637"/>
      <c r="K885" s="1637"/>
      <c r="L885" s="1637"/>
      <c r="M885" s="1637"/>
      <c r="N885" s="1637"/>
      <c r="O885" s="1637"/>
      <c r="P885" s="1637"/>
      <c r="Q885" s="1637"/>
      <c r="R885" s="1637"/>
      <c r="S885" s="1637"/>
      <c r="T885" s="1637"/>
      <c r="U885" s="1637"/>
      <c r="V885" s="1637"/>
      <c r="W885" s="1637"/>
      <c r="X885" s="1637"/>
      <c r="Y885" s="1637"/>
      <c r="Z885" s="1637"/>
      <c r="AA885" s="1637"/>
      <c r="AB885" s="1638"/>
      <c r="AC885" s="1719">
        <f>IF(ISERROR((ROUNDDOWN(AC883/AC884,0))),0,(ROUNDDOWN(AC883/AC884,0)))</f>
        <v>6193</v>
      </c>
      <c r="AD885" s="1719"/>
      <c r="AE885" s="1719"/>
      <c r="AF885" s="1719"/>
      <c r="AG885" s="1719"/>
      <c r="AH885" s="171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717">
        <v>2013706</v>
      </c>
      <c r="AD886" s="1718"/>
      <c r="AE886" s="1718"/>
      <c r="AF886" s="1718"/>
      <c r="AG886" s="1718"/>
      <c r="AH886" s="171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15"/>
      <c r="AD887" s="1555"/>
      <c r="AE887" s="1555"/>
      <c r="AF887" s="1555"/>
      <c r="AG887" s="1555"/>
      <c r="AH887" s="155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4">
        <v>26000</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v>120250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473"/>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v>12500</v>
      </c>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14">
        <v>171500</v>
      </c>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3" t="s">
        <v>2738</v>
      </c>
      <c r="D893" s="1624"/>
      <c r="E893" s="1624"/>
      <c r="F893" s="1624"/>
      <c r="G893" s="1624"/>
      <c r="H893" s="1624"/>
      <c r="I893" s="1624"/>
      <c r="J893" s="1624"/>
      <c r="K893" s="1624"/>
      <c r="L893" s="1624"/>
      <c r="M893" s="1624"/>
      <c r="N893" s="1624"/>
      <c r="O893" s="1624"/>
      <c r="P893" s="1624"/>
      <c r="Q893" s="1624"/>
      <c r="R893" s="1624"/>
      <c r="S893" s="1624"/>
      <c r="T893" s="1624"/>
      <c r="U893" s="1624"/>
      <c r="V893" s="1624"/>
      <c r="W893" s="1624"/>
      <c r="X893" s="1624"/>
      <c r="Y893" s="1624"/>
      <c r="Z893" s="1624"/>
      <c r="AA893" s="1624"/>
      <c r="AB893" s="1625"/>
      <c r="AC893" s="1555">
        <v>57500</v>
      </c>
      <c r="AD893" s="1555"/>
      <c r="AE893" s="1555"/>
      <c r="AF893" s="1555"/>
      <c r="AG893" s="1555"/>
      <c r="AH893" s="155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3" t="s">
        <v>973</v>
      </c>
      <c r="D894" s="1624"/>
      <c r="E894" s="1624"/>
      <c r="F894" s="1624"/>
      <c r="G894" s="1624"/>
      <c r="H894" s="1624"/>
      <c r="I894" s="1624"/>
      <c r="J894" s="1624"/>
      <c r="K894" s="1624"/>
      <c r="L894" s="1624"/>
      <c r="M894" s="1624"/>
      <c r="N894" s="1624"/>
      <c r="O894" s="1624"/>
      <c r="P894" s="1624"/>
      <c r="Q894" s="1624"/>
      <c r="R894" s="1624"/>
      <c r="S894" s="1624"/>
      <c r="T894" s="1624"/>
      <c r="U894" s="1624"/>
      <c r="V894" s="1624"/>
      <c r="W894" s="1624"/>
      <c r="X894" s="1624"/>
      <c r="Y894" s="1624"/>
      <c r="Z894" s="1624"/>
      <c r="AA894" s="1624"/>
      <c r="AB894" s="1625"/>
      <c r="AC894" s="1555"/>
      <c r="AD894" s="1555"/>
      <c r="AE894" s="1555"/>
      <c r="AF894" s="1555"/>
      <c r="AG894" s="1555"/>
      <c r="AH894" s="155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3"/>
      <c r="AA898" s="1514"/>
      <c r="AB898" s="1514"/>
      <c r="AC898" s="1514"/>
      <c r="AD898" s="1514"/>
      <c r="AE898" s="1515"/>
      <c r="AF898" s="567"/>
      <c r="AZ898" s="34"/>
      <c r="BB898" s="30"/>
      <c r="BC898" s="850"/>
      <c r="BD898" s="1647"/>
      <c r="BE898" s="164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3"/>
      <c r="AA899" s="1514"/>
      <c r="AB899" s="1514"/>
      <c r="AC899" s="1514"/>
      <c r="AD899" s="1514"/>
      <c r="AE899" s="1515"/>
      <c r="AZ899" s="34"/>
      <c r="BB899" s="30"/>
      <c r="BC899" s="850"/>
      <c r="BD899" s="1647"/>
      <c r="BE899" s="164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3"/>
      <c r="AA900" s="1514"/>
      <c r="AB900" s="1514"/>
      <c r="AC900" s="1514"/>
      <c r="AD900" s="1514"/>
      <c r="AE900" s="1515"/>
      <c r="AZ900" s="34"/>
      <c r="BB900" s="30"/>
      <c r="BC900" s="850"/>
      <c r="BD900" s="1646"/>
      <c r="BE900" s="164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16">
        <f>Z898-(Z899+Z900)</f>
        <v>0</v>
      </c>
      <c r="AA901" s="1617"/>
      <c r="AB901" s="1617"/>
      <c r="AC901" s="1617"/>
      <c r="AD901" s="1617"/>
      <c r="AE901" s="1618"/>
      <c r="AZ901" s="34"/>
      <c r="BB901" s="30"/>
      <c r="BC901" s="850"/>
      <c r="BD901" s="1646"/>
      <c r="BE901" s="164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6"/>
      <c r="BE902" s="164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7"/>
      <c r="BE903" s="164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5"/>
      <c r="BE905" s="1665"/>
      <c r="BF905" s="166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6"/>
      <c r="BE906" s="164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7"/>
      <c r="BE907" s="164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0" t="s">
        <v>96</v>
      </c>
      <c r="B909" s="1440"/>
      <c r="C909" s="1440"/>
      <c r="D909" s="1440"/>
      <c r="E909" s="1440"/>
      <c r="F909" s="1440"/>
      <c r="G909" s="1440"/>
      <c r="H909" s="1440"/>
      <c r="I909" s="1440"/>
      <c r="J909" s="1440"/>
      <c r="K909" s="1440"/>
      <c r="L909" s="1440"/>
      <c r="M909" s="1440"/>
      <c r="N909" s="1440"/>
      <c r="O909" s="1440"/>
      <c r="P909" s="1440"/>
      <c r="Q909" s="1440"/>
      <c r="R909" s="1440"/>
      <c r="S909" s="1440"/>
      <c r="T909" s="1440"/>
      <c r="U909" s="1440"/>
      <c r="V909" s="1440"/>
      <c r="W909" s="1440"/>
      <c r="X909" s="1440"/>
      <c r="Y909" s="1440"/>
      <c r="Z909" s="1440"/>
      <c r="AA909" s="1440"/>
      <c r="AB909" s="1440"/>
      <c r="AC909" s="1440"/>
      <c r="AD909" s="1440"/>
      <c r="AE909" s="1440"/>
      <c r="AF909" s="1440"/>
      <c r="AG909" s="1440"/>
      <c r="AH909" s="1440"/>
      <c r="AI909" s="1440"/>
      <c r="AJ909" s="1440"/>
      <c r="AK909" s="1440"/>
      <c r="AL909" s="1440"/>
      <c r="AM909" s="1440"/>
      <c r="AN909" s="1440"/>
      <c r="AO909" s="1440"/>
      <c r="AP909" s="1440"/>
      <c r="AQ909" s="1440"/>
      <c r="AR909" s="1440"/>
      <c r="AS909" s="1440"/>
      <c r="AT909" s="1440"/>
      <c r="AZ909" s="34"/>
      <c r="BA909" s="34"/>
      <c r="BB909" s="30"/>
      <c r="BC909" s="30"/>
      <c r="BD909" s="1647"/>
      <c r="BE909" s="164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0"/>
      <c r="B910" s="1440"/>
      <c r="C910" s="1440"/>
      <c r="D910" s="1440"/>
      <c r="E910" s="1440"/>
      <c r="F910" s="1440"/>
      <c r="G910" s="1440"/>
      <c r="H910" s="1440"/>
      <c r="I910" s="1440"/>
      <c r="J910" s="1440"/>
      <c r="K910" s="1440"/>
      <c r="L910" s="1440"/>
      <c r="M910" s="1440"/>
      <c r="N910" s="1440"/>
      <c r="O910" s="1440"/>
      <c r="P910" s="1440"/>
      <c r="Q910" s="1440"/>
      <c r="R910" s="1440"/>
      <c r="S910" s="1440"/>
      <c r="T910" s="1440"/>
      <c r="U910" s="1440"/>
      <c r="V910" s="1440"/>
      <c r="W910" s="1440"/>
      <c r="X910" s="1440"/>
      <c r="Y910" s="1440"/>
      <c r="Z910" s="1440"/>
      <c r="AA910" s="1440"/>
      <c r="AB910" s="1440"/>
      <c r="AC910" s="1440"/>
      <c r="AD910" s="1440"/>
      <c r="AE910" s="1440"/>
      <c r="AF910" s="1440"/>
      <c r="AG910" s="1440"/>
      <c r="AH910" s="1440"/>
      <c r="AI910" s="1440"/>
      <c r="AJ910" s="1440"/>
      <c r="AK910" s="1440"/>
      <c r="AL910" s="1440"/>
      <c r="AM910" s="1440"/>
      <c r="AN910" s="1440"/>
      <c r="AO910" s="1440"/>
      <c r="AP910" s="1440"/>
      <c r="AQ910" s="1440"/>
      <c r="AR910" s="1440"/>
      <c r="AS910" s="1440"/>
      <c r="AT910" s="14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0" t="s">
        <v>799</v>
      </c>
      <c r="G914" s="1551"/>
      <c r="H914" s="1551"/>
      <c r="I914" s="1551"/>
      <c r="J914" s="1551"/>
      <c r="K914" s="1551"/>
      <c r="L914" s="1551"/>
      <c r="M914" s="1551"/>
      <c r="N914" s="1551"/>
      <c r="O914" s="1551"/>
      <c r="P914" s="1551"/>
      <c r="Q914" s="1551"/>
      <c r="R914" s="1551"/>
      <c r="S914" s="1551"/>
      <c r="T914" s="1552"/>
      <c r="U914" s="1652" t="s">
        <v>31</v>
      </c>
      <c r="V914" s="1627"/>
      <c r="W914" s="1627"/>
      <c r="X914" s="1627"/>
      <c r="Y914" s="1627"/>
      <c r="Z914" s="162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3" t="s">
        <v>825</v>
      </c>
      <c r="G915" s="1654"/>
      <c r="H915" s="1654"/>
      <c r="I915" s="1654"/>
      <c r="J915" s="1654"/>
      <c r="K915" s="1654"/>
      <c r="L915" s="1654"/>
      <c r="M915" s="1654"/>
      <c r="N915" s="1654"/>
      <c r="O915" s="1654"/>
      <c r="P915" s="1654"/>
      <c r="Q915" s="1654"/>
      <c r="R915" s="1654"/>
      <c r="S915" s="1654"/>
      <c r="T915" s="1659"/>
      <c r="U915" s="1653"/>
      <c r="V915" s="1654"/>
      <c r="W915" s="1654"/>
      <c r="X915" s="1654"/>
      <c r="Y915" s="1654"/>
      <c r="Z915" s="165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5"/>
      <c r="G916" s="1629"/>
      <c r="H916" s="1629"/>
      <c r="I916" s="1629"/>
      <c r="J916" s="1629"/>
      <c r="K916" s="1629"/>
      <c r="L916" s="1629"/>
      <c r="M916" s="1629"/>
      <c r="N916" s="1629"/>
      <c r="O916" s="1629"/>
      <c r="P916" s="1629"/>
      <c r="Q916" s="1629"/>
      <c r="R916" s="1629"/>
      <c r="S916" s="1629"/>
      <c r="T916" s="1630"/>
      <c r="U916" s="1655"/>
      <c r="V916" s="1629"/>
      <c r="W916" s="1629"/>
      <c r="X916" s="1629"/>
      <c r="Y916" s="1629"/>
      <c r="Z916" s="1629"/>
      <c r="AA916" s="108"/>
      <c r="AB916" s="1651" t="s">
        <v>391</v>
      </c>
      <c r="AC916" s="1651"/>
      <c r="AD916" s="1651"/>
      <c r="AE916" s="165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39" t="s">
        <v>552</v>
      </c>
      <c r="V917" s="1640"/>
      <c r="W917" s="1640"/>
      <c r="X917" s="1640"/>
      <c r="Y917" s="1640"/>
      <c r="Z917" s="1641"/>
      <c r="AA917" s="1556">
        <v>105000000</v>
      </c>
      <c r="AB917" s="1557"/>
      <c r="AC917" s="1557"/>
      <c r="AD917" s="1557"/>
      <c r="AE917" s="1557"/>
      <c r="AF917" s="155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39" t="s">
        <v>552</v>
      </c>
      <c r="V918" s="1640"/>
      <c r="W918" s="1640"/>
      <c r="X918" s="1640"/>
      <c r="Y918" s="1640"/>
      <c r="Z918" s="1641"/>
      <c r="AA918" s="1556">
        <v>14519429</v>
      </c>
      <c r="AB918" s="1557"/>
      <c r="AC918" s="1557"/>
      <c r="AD918" s="1557"/>
      <c r="AE918" s="1557"/>
      <c r="AF918" s="155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39" t="s">
        <v>598</v>
      </c>
      <c r="V919" s="1640"/>
      <c r="W919" s="1640"/>
      <c r="X919" s="1640"/>
      <c r="Y919" s="1640"/>
      <c r="Z919" s="1641"/>
      <c r="AA919" s="1556"/>
      <c r="AB919" s="1557"/>
      <c r="AC919" s="1557"/>
      <c r="AD919" s="1557"/>
      <c r="AE919" s="1557"/>
      <c r="AF919" s="155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39" t="s">
        <v>598</v>
      </c>
      <c r="V920" s="1640"/>
      <c r="W920" s="1640"/>
      <c r="X920" s="1640"/>
      <c r="Y920" s="1640"/>
      <c r="Z920" s="1641"/>
      <c r="AA920" s="1556"/>
      <c r="AB920" s="1557"/>
      <c r="AC920" s="1557"/>
      <c r="AD920" s="1557"/>
      <c r="AE920" s="1557"/>
      <c r="AF920" s="155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39" t="s">
        <v>598</v>
      </c>
      <c r="V921" s="1640"/>
      <c r="W921" s="1640"/>
      <c r="X921" s="1640"/>
      <c r="Y921" s="1640"/>
      <c r="Z921" s="1641"/>
      <c r="AA921" s="1556"/>
      <c r="AB921" s="1557"/>
      <c r="AC921" s="1557"/>
      <c r="AD921" s="1557"/>
      <c r="AE921" s="1557"/>
      <c r="AF921" s="155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39" t="s">
        <v>598</v>
      </c>
      <c r="V922" s="1640"/>
      <c r="W922" s="1640"/>
      <c r="X922" s="1640"/>
      <c r="Y922" s="1640"/>
      <c r="Z922" s="1641"/>
      <c r="AA922" s="1556"/>
      <c r="AB922" s="1557"/>
      <c r="AC922" s="1557"/>
      <c r="AD922" s="1557"/>
      <c r="AE922" s="1557"/>
      <c r="AF922" s="155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39" t="s">
        <v>598</v>
      </c>
      <c r="V923" s="1640"/>
      <c r="W923" s="1640"/>
      <c r="X923" s="1640"/>
      <c r="Y923" s="1640"/>
      <c r="Z923" s="1641"/>
      <c r="AA923" s="1556"/>
      <c r="AB923" s="1557"/>
      <c r="AC923" s="1557"/>
      <c r="AD923" s="1557"/>
      <c r="AE923" s="1557"/>
      <c r="AF923" s="155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39" t="s">
        <v>598</v>
      </c>
      <c r="V924" s="1640"/>
      <c r="W924" s="1640"/>
      <c r="X924" s="1640"/>
      <c r="Y924" s="1640"/>
      <c r="Z924" s="1641"/>
      <c r="AA924" s="1556"/>
      <c r="AB924" s="1557"/>
      <c r="AC924" s="1557"/>
      <c r="AD924" s="1557"/>
      <c r="AE924" s="1557"/>
      <c r="AF924" s="155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8" t="s">
        <v>2550</v>
      </c>
      <c r="G925" s="1739"/>
      <c r="H925" s="1739"/>
      <c r="I925" s="1739"/>
      <c r="J925" s="1739"/>
      <c r="K925" s="1739"/>
      <c r="L925" s="1739"/>
      <c r="M925" s="1739"/>
      <c r="N925" s="1739"/>
      <c r="O925" s="1739"/>
      <c r="P925" s="1739"/>
      <c r="Q925" s="1739"/>
      <c r="R925" s="1739"/>
      <c r="S925" s="1739"/>
      <c r="T925" s="1740"/>
      <c r="U925" s="1639" t="s">
        <v>598</v>
      </c>
      <c r="V925" s="1640"/>
      <c r="W925" s="1640"/>
      <c r="X925" s="1640"/>
      <c r="Y925" s="1640"/>
      <c r="Z925" s="1641"/>
      <c r="AA925" s="1556"/>
      <c r="AB925" s="1557"/>
      <c r="AC925" s="1557"/>
      <c r="AD925" s="1557"/>
      <c r="AE925" s="1557"/>
      <c r="AF925" s="155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8" t="s">
        <v>685</v>
      </c>
      <c r="G926" s="1739"/>
      <c r="H926" s="1739"/>
      <c r="I926" s="1739"/>
      <c r="J926" s="1739"/>
      <c r="K926" s="1739"/>
      <c r="L926" s="1739"/>
      <c r="M926" s="1739"/>
      <c r="N926" s="1739"/>
      <c r="O926" s="1739"/>
      <c r="P926" s="1739"/>
      <c r="Q926" s="1739"/>
      <c r="R926" s="1739"/>
      <c r="S926" s="1739"/>
      <c r="T926" s="1740"/>
      <c r="U926" s="1639" t="s">
        <v>598</v>
      </c>
      <c r="V926" s="1640"/>
      <c r="W926" s="1640"/>
      <c r="X926" s="1640"/>
      <c r="Y926" s="1640"/>
      <c r="Z926" s="1641"/>
      <c r="AA926" s="1556"/>
      <c r="AB926" s="1557"/>
      <c r="AC926" s="1557"/>
      <c r="AD926" s="1557"/>
      <c r="AE926" s="1557"/>
      <c r="AF926" s="155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8" t="s">
        <v>2551</v>
      </c>
      <c r="G927" s="1739"/>
      <c r="H927" s="1739"/>
      <c r="I927" s="1739"/>
      <c r="J927" s="1739"/>
      <c r="K927" s="1739"/>
      <c r="L927" s="1739"/>
      <c r="M927" s="1739"/>
      <c r="N927" s="1739"/>
      <c r="O927" s="1739"/>
      <c r="P927" s="1739"/>
      <c r="Q927" s="1739"/>
      <c r="R927" s="1739"/>
      <c r="S927" s="1739"/>
      <c r="T927" s="1740"/>
      <c r="U927" s="1639" t="s">
        <v>598</v>
      </c>
      <c r="V927" s="1640"/>
      <c r="W927" s="1640"/>
      <c r="X927" s="1640"/>
      <c r="Y927" s="1640"/>
      <c r="Z927" s="1641"/>
      <c r="AA927" s="1556"/>
      <c r="AB927" s="1557"/>
      <c r="AC927" s="1557"/>
      <c r="AD927" s="1557"/>
      <c r="AE927" s="1557"/>
      <c r="AF927" s="155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8" t="s">
        <v>2552</v>
      </c>
      <c r="G928" s="1739"/>
      <c r="H928" s="1739"/>
      <c r="I928" s="1739"/>
      <c r="J928" s="1739"/>
      <c r="K928" s="1739"/>
      <c r="L928" s="1739"/>
      <c r="M928" s="1739"/>
      <c r="N928" s="1739"/>
      <c r="O928" s="1739"/>
      <c r="P928" s="1739"/>
      <c r="Q928" s="1739"/>
      <c r="R928" s="1739"/>
      <c r="S928" s="1739"/>
      <c r="T928" s="1740"/>
      <c r="U928" s="1639" t="s">
        <v>598</v>
      </c>
      <c r="V928" s="1640"/>
      <c r="W928" s="1640"/>
      <c r="X928" s="1640"/>
      <c r="Y928" s="1640"/>
      <c r="Z928" s="1641"/>
      <c r="AA928" s="1556"/>
      <c r="AB928" s="1557"/>
      <c r="AC928" s="1557"/>
      <c r="AD928" s="1557"/>
      <c r="AE928" s="1557"/>
      <c r="AF928" s="155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8" t="s">
        <v>2553</v>
      </c>
      <c r="G929" s="1739"/>
      <c r="H929" s="1739"/>
      <c r="I929" s="1739"/>
      <c r="J929" s="1739"/>
      <c r="K929" s="1739"/>
      <c r="L929" s="1739"/>
      <c r="M929" s="1739"/>
      <c r="N929" s="1739"/>
      <c r="O929" s="1739"/>
      <c r="P929" s="1739"/>
      <c r="Q929" s="1739"/>
      <c r="R929" s="1739"/>
      <c r="S929" s="1739"/>
      <c r="T929" s="1740"/>
      <c r="U929" s="1639" t="s">
        <v>598</v>
      </c>
      <c r="V929" s="1640"/>
      <c r="W929" s="1640"/>
      <c r="X929" s="1640"/>
      <c r="Y929" s="1640"/>
      <c r="Z929" s="1641"/>
      <c r="AA929" s="1556"/>
      <c r="AB929" s="1557"/>
      <c r="AC929" s="1557"/>
      <c r="AD929" s="1557"/>
      <c r="AE929" s="1557"/>
      <c r="AF929" s="155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8" t="s">
        <v>2554</v>
      </c>
      <c r="G930" s="1739"/>
      <c r="H930" s="1739"/>
      <c r="I930" s="1739"/>
      <c r="J930" s="1739"/>
      <c r="K930" s="1739"/>
      <c r="L930" s="1739"/>
      <c r="M930" s="1739"/>
      <c r="N930" s="1739"/>
      <c r="O930" s="1739"/>
      <c r="P930" s="1739"/>
      <c r="Q930" s="1739"/>
      <c r="R930" s="1739"/>
      <c r="S930" s="1739"/>
      <c r="T930" s="1740"/>
      <c r="U930" s="1639" t="s">
        <v>598</v>
      </c>
      <c r="V930" s="1640"/>
      <c r="W930" s="1640"/>
      <c r="X930" s="1640"/>
      <c r="Y930" s="1640"/>
      <c r="Z930" s="1641"/>
      <c r="AA930" s="1556"/>
      <c r="AB930" s="1557"/>
      <c r="AC930" s="1557"/>
      <c r="AD930" s="1557"/>
      <c r="AE930" s="1557"/>
      <c r="AF930" s="155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8" t="s">
        <v>2555</v>
      </c>
      <c r="G931" s="1739"/>
      <c r="H931" s="1739"/>
      <c r="I931" s="1739"/>
      <c r="J931" s="1739"/>
      <c r="K931" s="1739"/>
      <c r="L931" s="1739"/>
      <c r="M931" s="1739"/>
      <c r="N931" s="1739"/>
      <c r="O931" s="1739"/>
      <c r="P931" s="1739"/>
      <c r="Q931" s="1739"/>
      <c r="R931" s="1739"/>
      <c r="S931" s="1739"/>
      <c r="T931" s="1740"/>
      <c r="U931" s="1639" t="s">
        <v>598</v>
      </c>
      <c r="V931" s="1640"/>
      <c r="W931" s="1640"/>
      <c r="X931" s="1640"/>
      <c r="Y931" s="1640"/>
      <c r="Z931" s="1641"/>
      <c r="AA931" s="1556"/>
      <c r="AB931" s="1557"/>
      <c r="AC931" s="1557"/>
      <c r="AD931" s="1557"/>
      <c r="AE931" s="1557"/>
      <c r="AF931" s="155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39" t="s">
        <v>598</v>
      </c>
      <c r="V932" s="1640"/>
      <c r="W932" s="1640"/>
      <c r="X932" s="1640"/>
      <c r="Y932" s="1640"/>
      <c r="Z932" s="1641"/>
      <c r="AA932" s="1556"/>
      <c r="AB932" s="1557"/>
      <c r="AC932" s="1557"/>
      <c r="AD932" s="1557"/>
      <c r="AE932" s="1557"/>
      <c r="AF932" s="155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39" t="s">
        <v>598</v>
      </c>
      <c r="V933" s="1640"/>
      <c r="W933" s="1640"/>
      <c r="X933" s="1640"/>
      <c r="Y933" s="1640"/>
      <c r="Z933" s="1641"/>
      <c r="AA933" s="1556"/>
      <c r="AB933" s="1557"/>
      <c r="AC933" s="1557"/>
      <c r="AD933" s="1557"/>
      <c r="AE933" s="1557"/>
      <c r="AF933" s="155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39" t="s">
        <v>598</v>
      </c>
      <c r="V934" s="1640"/>
      <c r="W934" s="1640"/>
      <c r="X934" s="1640"/>
      <c r="Y934" s="1640"/>
      <c r="Z934" s="1641"/>
      <c r="AA934" s="1556"/>
      <c r="AB934" s="1557"/>
      <c r="AC934" s="1557"/>
      <c r="AD934" s="1557"/>
      <c r="AE934" s="1557"/>
      <c r="AF934" s="155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5" t="s">
        <v>2559</v>
      </c>
      <c r="G935" s="1736"/>
      <c r="H935" s="1736"/>
      <c r="I935" s="1736"/>
      <c r="J935" s="1736"/>
      <c r="K935" s="1736"/>
      <c r="L935" s="1736"/>
      <c r="M935" s="1736"/>
      <c r="N935" s="1736"/>
      <c r="O935" s="1736"/>
      <c r="P935" s="1736"/>
      <c r="Q935" s="1736"/>
      <c r="R935" s="1736"/>
      <c r="S935" s="1736"/>
      <c r="T935" s="1737"/>
      <c r="U935" s="1639" t="s">
        <v>598</v>
      </c>
      <c r="V935" s="1640"/>
      <c r="W935" s="1640"/>
      <c r="X935" s="1640"/>
      <c r="Y935" s="1640"/>
      <c r="Z935" s="1641"/>
      <c r="AA935" s="1556"/>
      <c r="AB935" s="1557"/>
      <c r="AC935" s="1557"/>
      <c r="AD935" s="1557"/>
      <c r="AE935" s="1557"/>
      <c r="AF935" s="155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5" t="s">
        <v>2560</v>
      </c>
      <c r="G936" s="1736"/>
      <c r="H936" s="1736"/>
      <c r="I936" s="1736"/>
      <c r="J936" s="1736"/>
      <c r="K936" s="1736"/>
      <c r="L936" s="1736"/>
      <c r="M936" s="1736"/>
      <c r="N936" s="1736"/>
      <c r="O936" s="1736"/>
      <c r="P936" s="1736"/>
      <c r="Q936" s="1736"/>
      <c r="R936" s="1736"/>
      <c r="S936" s="1736"/>
      <c r="T936" s="1737"/>
      <c r="U936" s="1639" t="s">
        <v>598</v>
      </c>
      <c r="V936" s="1640"/>
      <c r="W936" s="1640"/>
      <c r="X936" s="1640"/>
      <c r="Y936" s="1640"/>
      <c r="Z936" s="1641"/>
      <c r="AA936" s="1556"/>
      <c r="AB936" s="1557"/>
      <c r="AC936" s="1557"/>
      <c r="AD936" s="1557"/>
      <c r="AE936" s="1557"/>
      <c r="AF936" s="155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8" t="s">
        <v>2556</v>
      </c>
      <c r="G937" s="1739"/>
      <c r="H937" s="1739"/>
      <c r="I937" s="1739"/>
      <c r="J937" s="1739"/>
      <c r="K937" s="1739"/>
      <c r="L937" s="1739"/>
      <c r="M937" s="1739"/>
      <c r="N937" s="1739"/>
      <c r="O937" s="1739"/>
      <c r="P937" s="1739"/>
      <c r="Q937" s="1739"/>
      <c r="R937" s="1739"/>
      <c r="S937" s="1739"/>
      <c r="T937" s="1740"/>
      <c r="U937" s="1639" t="s">
        <v>598</v>
      </c>
      <c r="V937" s="1640"/>
      <c r="W937" s="1640"/>
      <c r="X937" s="1640"/>
      <c r="Y937" s="1640"/>
      <c r="Z937" s="1641"/>
      <c r="AA937" s="1556"/>
      <c r="AB937" s="1557"/>
      <c r="AC937" s="1557"/>
      <c r="AD937" s="1557"/>
      <c r="AE937" s="1557"/>
      <c r="AF937" s="155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8" t="s">
        <v>2557</v>
      </c>
      <c r="G938" s="1739"/>
      <c r="H938" s="1739"/>
      <c r="I938" s="1739"/>
      <c r="J938" s="1739"/>
      <c r="K938" s="1739"/>
      <c r="L938" s="1739"/>
      <c r="M938" s="1739"/>
      <c r="N938" s="1739"/>
      <c r="O938" s="1739"/>
      <c r="P938" s="1739"/>
      <c r="Q938" s="1739"/>
      <c r="R938" s="1739"/>
      <c r="S938" s="1739"/>
      <c r="T938" s="1740"/>
      <c r="U938" s="1639" t="s">
        <v>598</v>
      </c>
      <c r="V938" s="1640"/>
      <c r="W938" s="1640"/>
      <c r="X938" s="1640"/>
      <c r="Y938" s="1640"/>
      <c r="Z938" s="1641"/>
      <c r="AA938" s="1556"/>
      <c r="AB938" s="1557"/>
      <c r="AC938" s="1557"/>
      <c r="AD938" s="1557"/>
      <c r="AE938" s="1557"/>
      <c r="AF938" s="155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8" t="s">
        <v>2558</v>
      </c>
      <c r="G939" s="1739"/>
      <c r="H939" s="1739"/>
      <c r="I939" s="1739"/>
      <c r="J939" s="1739"/>
      <c r="K939" s="1739"/>
      <c r="L939" s="1739"/>
      <c r="M939" s="1739"/>
      <c r="N939" s="1739"/>
      <c r="O939" s="1739"/>
      <c r="P939" s="1739"/>
      <c r="Q939" s="1739"/>
      <c r="R939" s="1739"/>
      <c r="S939" s="1739"/>
      <c r="T939" s="1740"/>
      <c r="U939" s="1639" t="s">
        <v>598</v>
      </c>
      <c r="V939" s="1640"/>
      <c r="W939" s="1640"/>
      <c r="X939" s="1640"/>
      <c r="Y939" s="1640"/>
      <c r="Z939" s="1641"/>
      <c r="AA939" s="1556"/>
      <c r="AB939" s="1557"/>
      <c r="AC939" s="1557"/>
      <c r="AD939" s="1557"/>
      <c r="AE939" s="1557"/>
      <c r="AF939" s="155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39" t="s">
        <v>598</v>
      </c>
      <c r="V940" s="1640"/>
      <c r="W940" s="1640"/>
      <c r="X940" s="1640"/>
      <c r="Y940" s="1640"/>
      <c r="Z940" s="1641"/>
      <c r="AA940" s="1556"/>
      <c r="AB940" s="1557"/>
      <c r="AC940" s="1557"/>
      <c r="AD940" s="1557"/>
      <c r="AE940" s="1557"/>
      <c r="AF940" s="155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5" t="s">
        <v>2561</v>
      </c>
      <c r="G941" s="1736"/>
      <c r="H941" s="1736"/>
      <c r="I941" s="1736"/>
      <c r="J941" s="1736"/>
      <c r="K941" s="1736"/>
      <c r="L941" s="1736"/>
      <c r="M941" s="1736"/>
      <c r="N941" s="1736"/>
      <c r="O941" s="1736"/>
      <c r="P941" s="1736"/>
      <c r="Q941" s="1736"/>
      <c r="R941" s="1736"/>
      <c r="S941" s="1736"/>
      <c r="T941" s="1737"/>
      <c r="U941" s="1639" t="s">
        <v>598</v>
      </c>
      <c r="V941" s="1640"/>
      <c r="W941" s="1640"/>
      <c r="X941" s="1640"/>
      <c r="Y941" s="1640"/>
      <c r="Z941" s="1641"/>
      <c r="AA941" s="1556"/>
      <c r="AB941" s="1557"/>
      <c r="AC941" s="1557"/>
      <c r="AD941" s="1557"/>
      <c r="AE941" s="1557"/>
      <c r="AF941" s="155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39" t="s">
        <v>598</v>
      </c>
      <c r="V942" s="1640"/>
      <c r="W942" s="1640"/>
      <c r="X942" s="1640"/>
      <c r="Y942" s="1640"/>
      <c r="Z942" s="1641"/>
      <c r="AA942" s="1556"/>
      <c r="AB942" s="1557"/>
      <c r="AC942" s="1557"/>
      <c r="AD942" s="1557"/>
      <c r="AE942" s="1557"/>
      <c r="AF942" s="155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5" t="s">
        <v>2562</v>
      </c>
      <c r="G943" s="1736"/>
      <c r="H943" s="1736"/>
      <c r="I943" s="1736"/>
      <c r="J943" s="1736"/>
      <c r="K943" s="1736"/>
      <c r="L943" s="1736"/>
      <c r="M943" s="1736"/>
      <c r="N943" s="1736"/>
      <c r="O943" s="1736"/>
      <c r="P943" s="1736"/>
      <c r="Q943" s="1736"/>
      <c r="R943" s="1736"/>
      <c r="S943" s="1736"/>
      <c r="T943" s="1737"/>
      <c r="U943" s="1639" t="s">
        <v>598</v>
      </c>
      <c r="V943" s="1640"/>
      <c r="W943" s="1640"/>
      <c r="X943" s="1640"/>
      <c r="Y943" s="1640"/>
      <c r="Z943" s="1641"/>
      <c r="AA943" s="1556"/>
      <c r="AB943" s="1557"/>
      <c r="AC943" s="1557"/>
      <c r="AD943" s="1557"/>
      <c r="AE943" s="1557"/>
      <c r="AF943" s="155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39" t="s">
        <v>675</v>
      </c>
      <c r="Q944" s="1640"/>
      <c r="R944" s="1640"/>
      <c r="S944" s="1640"/>
      <c r="T944" s="1641"/>
      <c r="U944" s="1639" t="s">
        <v>598</v>
      </c>
      <c r="V944" s="1640"/>
      <c r="W944" s="1640"/>
      <c r="X944" s="1640"/>
      <c r="Y944" s="1640"/>
      <c r="Z944" s="1641"/>
      <c r="AA944" s="1556"/>
      <c r="AB944" s="1557"/>
      <c r="AC944" s="1557"/>
      <c r="AD944" s="1557"/>
      <c r="AE944" s="1557"/>
      <c r="AF944" s="155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8" t="s">
        <v>2549</v>
      </c>
      <c r="G945" s="1739"/>
      <c r="H945" s="1740"/>
      <c r="I945" s="1392" t="s">
        <v>334</v>
      </c>
      <c r="J945" s="1393"/>
      <c r="K945" s="1393"/>
      <c r="L945" s="1393"/>
      <c r="M945" s="1393"/>
      <c r="N945" s="1393"/>
      <c r="O945" s="1393"/>
      <c r="P945" s="1393"/>
      <c r="Q945" s="1393"/>
      <c r="R945" s="1393"/>
      <c r="S945" s="1393"/>
      <c r="T945" s="1394"/>
      <c r="U945" s="1639" t="s">
        <v>598</v>
      </c>
      <c r="V945" s="1640"/>
      <c r="W945" s="1640"/>
      <c r="X945" s="1640"/>
      <c r="Y945" s="1640"/>
      <c r="Z945" s="1641"/>
      <c r="AA945" s="1556"/>
      <c r="AB945" s="1557"/>
      <c r="AC945" s="1557"/>
      <c r="AD945" s="1557"/>
      <c r="AE945" s="1557"/>
      <c r="AF945" s="155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334</v>
      </c>
      <c r="J946" s="1393"/>
      <c r="K946" s="1393"/>
      <c r="L946" s="1393"/>
      <c r="M946" s="1393"/>
      <c r="N946" s="1393"/>
      <c r="O946" s="1393"/>
      <c r="P946" s="1393"/>
      <c r="Q946" s="1393"/>
      <c r="R946" s="1393"/>
      <c r="S946" s="1393"/>
      <c r="T946" s="1394"/>
      <c r="U946" s="1639" t="s">
        <v>598</v>
      </c>
      <c r="V946" s="1640"/>
      <c r="W946" s="1640"/>
      <c r="X946" s="1640"/>
      <c r="Y946" s="1640"/>
      <c r="Z946" s="1641"/>
      <c r="AA946" s="1556"/>
      <c r="AB946" s="1557"/>
      <c r="AC946" s="1557"/>
      <c r="AD946" s="1557"/>
      <c r="AE946" s="1557"/>
      <c r="AF946" s="155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334</v>
      </c>
      <c r="J947" s="1553"/>
      <c r="K947" s="1553"/>
      <c r="L947" s="1553"/>
      <c r="M947" s="1553"/>
      <c r="N947" s="1553"/>
      <c r="O947" s="1553"/>
      <c r="P947" s="1553"/>
      <c r="Q947" s="1553"/>
      <c r="R947" s="1553"/>
      <c r="S947" s="1553"/>
      <c r="T947" s="1554"/>
      <c r="U947" s="1639" t="s">
        <v>598</v>
      </c>
      <c r="V947" s="1640"/>
      <c r="W947" s="1640"/>
      <c r="X947" s="1640"/>
      <c r="Y947" s="1640"/>
      <c r="Z947" s="1641"/>
      <c r="AA947" s="1556"/>
      <c r="AB947" s="1557"/>
      <c r="AC947" s="1557"/>
      <c r="AD947" s="1557"/>
      <c r="AE947" s="1557"/>
      <c r="AF947" s="155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92" t="s">
        <v>334</v>
      </c>
      <c r="J948" s="1553"/>
      <c r="K948" s="1553"/>
      <c r="L948" s="1553"/>
      <c r="M948" s="1553"/>
      <c r="N948" s="1553"/>
      <c r="O948" s="1553"/>
      <c r="P948" s="1553"/>
      <c r="Q948" s="1553"/>
      <c r="R948" s="1553"/>
      <c r="S948" s="1553"/>
      <c r="T948" s="1554"/>
      <c r="U948" s="1639" t="s">
        <v>598</v>
      </c>
      <c r="V948" s="1640"/>
      <c r="W948" s="1640"/>
      <c r="X948" s="1640"/>
      <c r="Y948" s="1640"/>
      <c r="Z948" s="1641"/>
      <c r="AA948" s="1556"/>
      <c r="AB948" s="1557"/>
      <c r="AC948" s="1557"/>
      <c r="AD948" s="1557"/>
      <c r="AE948" s="1557"/>
      <c r="AF948" s="155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392" t="s">
        <v>2739</v>
      </c>
      <c r="J949" s="1553"/>
      <c r="K949" s="1553"/>
      <c r="L949" s="1553"/>
      <c r="M949" s="1553"/>
      <c r="N949" s="1553"/>
      <c r="O949" s="1553"/>
      <c r="P949" s="1553"/>
      <c r="Q949" s="1553"/>
      <c r="R949" s="1553"/>
      <c r="S949" s="1553"/>
      <c r="T949" s="1554"/>
      <c r="U949" s="1639" t="s">
        <v>552</v>
      </c>
      <c r="V949" s="1640"/>
      <c r="W949" s="1640"/>
      <c r="X949" s="1640"/>
      <c r="Y949" s="1640"/>
      <c r="Z949" s="1641"/>
      <c r="AA949" s="1556">
        <v>44000000</v>
      </c>
      <c r="AB949" s="1557"/>
      <c r="AC949" s="1557"/>
      <c r="AD949" s="1557"/>
      <c r="AE949" s="1557"/>
      <c r="AF949" s="155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0"/>
      <c r="N954" s="1679"/>
      <c r="O954" s="1679"/>
      <c r="P954" s="1679"/>
      <c r="Q954" s="1679"/>
      <c r="R954" s="1679"/>
      <c r="S954" s="1721"/>
      <c r="U954" s="66" t="s">
        <v>11</v>
      </c>
      <c r="V954" s="5"/>
      <c r="W954" s="5"/>
      <c r="X954" s="5"/>
      <c r="Y954" s="5"/>
      <c r="Z954" s="5"/>
      <c r="AA954" s="5"/>
      <c r="AB954" s="5"/>
      <c r="AC954" s="5"/>
      <c r="AD954" s="46"/>
      <c r="AE954" s="1720"/>
      <c r="AF954" s="1679"/>
      <c r="AG954" s="1679"/>
      <c r="AH954" s="1679"/>
      <c r="AI954" s="1679"/>
      <c r="AJ954" s="1679"/>
      <c r="AK954" s="172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2"/>
      <c r="N955" s="1593"/>
      <c r="O955" s="1593"/>
      <c r="P955" s="1593"/>
      <c r="Q955" s="1593"/>
      <c r="R955" s="1593"/>
      <c r="S955" s="1594"/>
      <c r="U955" s="66" t="s">
        <v>12</v>
      </c>
      <c r="V955" s="5"/>
      <c r="W955" s="5"/>
      <c r="X955" s="5"/>
      <c r="Y955" s="5"/>
      <c r="Z955" s="5"/>
      <c r="AA955" s="5"/>
      <c r="AB955" s="5"/>
      <c r="AC955" s="5"/>
      <c r="AD955" s="46"/>
      <c r="AE955" s="1592"/>
      <c r="AF955" s="1593"/>
      <c r="AG955" s="1593"/>
      <c r="AH955" s="1593"/>
      <c r="AI955" s="1593"/>
      <c r="AJ955" s="1593"/>
      <c r="AK955" s="159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595" t="s">
        <v>307</v>
      </c>
      <c r="K956" s="1596"/>
      <c r="L956" s="1596"/>
      <c r="M956" s="1596"/>
      <c r="N956" s="1596"/>
      <c r="O956" s="1596"/>
      <c r="P956" s="1596"/>
      <c r="Q956" s="1596"/>
      <c r="R956" s="1596"/>
      <c r="S956" s="1597"/>
      <c r="U956" s="66" t="s">
        <v>890</v>
      </c>
      <c r="V956" s="5"/>
      <c r="W956" s="5"/>
      <c r="AB956" s="1595" t="s">
        <v>307</v>
      </c>
      <c r="AC956" s="1596"/>
      <c r="AD956" s="1596"/>
      <c r="AE956" s="1596"/>
      <c r="AF956" s="1596"/>
      <c r="AG956" s="1596"/>
      <c r="AH956" s="1596"/>
      <c r="AI956" s="1596"/>
      <c r="AJ956" s="1596"/>
      <c r="AK956" s="159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1"/>
      <c r="N957" s="1632"/>
      <c r="O957" s="1632"/>
      <c r="P957" s="1632"/>
      <c r="Q957" s="1632"/>
      <c r="R957" s="1632"/>
      <c r="S957" s="1633"/>
      <c r="U957" s="66" t="s">
        <v>13</v>
      </c>
      <c r="V957" s="5"/>
      <c r="W957" s="5"/>
      <c r="X957" s="5"/>
      <c r="Y957" s="5"/>
      <c r="Z957" s="5"/>
      <c r="AA957" s="5"/>
      <c r="AB957" s="5"/>
      <c r="AC957" s="5"/>
      <c r="AD957" s="46"/>
      <c r="AE957" s="1645"/>
      <c r="AF957" s="1632"/>
      <c r="AG957" s="1632"/>
      <c r="AH957" s="1632"/>
      <c r="AI957" s="1632"/>
      <c r="AJ957" s="1632"/>
      <c r="AK957" s="163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6"/>
      <c r="N959" s="1557"/>
      <c r="O959" s="1557"/>
      <c r="P959" s="1557"/>
      <c r="Q959" s="1557"/>
      <c r="R959" s="1557"/>
      <c r="S959" s="1558"/>
      <c r="U959" s="66" t="s">
        <v>15</v>
      </c>
      <c r="V959" s="5"/>
      <c r="W959" s="5"/>
      <c r="X959" s="5"/>
      <c r="Y959" s="5"/>
      <c r="Z959" s="5"/>
      <c r="AA959" s="5"/>
      <c r="AB959" s="5"/>
      <c r="AC959" s="5"/>
      <c r="AD959" s="46"/>
      <c r="AE959" s="1556"/>
      <c r="AF959" s="1557"/>
      <c r="AG959" s="1557"/>
      <c r="AH959" s="1557"/>
      <c r="AI959" s="1557"/>
      <c r="AJ959" s="1557"/>
      <c r="AK959" s="155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6"/>
      <c r="N960" s="1557"/>
      <c r="O960" s="1557"/>
      <c r="P960" s="1557"/>
      <c r="Q960" s="1557"/>
      <c r="R960" s="1557"/>
      <c r="S960" s="1558"/>
      <c r="U960" s="66" t="s">
        <v>16</v>
      </c>
      <c r="V960" s="5"/>
      <c r="W960" s="5"/>
      <c r="X960" s="5"/>
      <c r="Y960" s="5"/>
      <c r="Z960" s="5"/>
      <c r="AA960" s="5"/>
      <c r="AB960" s="5"/>
      <c r="AC960" s="5"/>
      <c r="AD960" s="46"/>
      <c r="AE960" s="1556"/>
      <c r="AF960" s="1557"/>
      <c r="AG960" s="1557"/>
      <c r="AH960" s="1557"/>
      <c r="AI960" s="1557"/>
      <c r="AJ960" s="1557"/>
      <c r="AK960" s="155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642"/>
      <c r="N961" s="1643"/>
      <c r="O961" s="1643"/>
      <c r="P961" s="1643"/>
      <c r="Q961" s="1643"/>
      <c r="R961" s="1643"/>
      <c r="S961" s="1644"/>
      <c r="U961" s="121" t="s">
        <v>1770</v>
      </c>
      <c r="V961" s="5"/>
      <c r="W961" s="5"/>
      <c r="X961" s="5"/>
      <c r="Y961" s="5"/>
      <c r="Z961" s="5"/>
      <c r="AA961" s="5"/>
      <c r="AB961" s="5"/>
      <c r="AC961" s="5"/>
      <c r="AD961" s="46"/>
      <c r="AE961" s="1642"/>
      <c r="AF961" s="1643"/>
      <c r="AG961" s="1643"/>
      <c r="AH961" s="1643"/>
      <c r="AI961" s="1643"/>
      <c r="AJ961" s="1643"/>
      <c r="AK961" s="164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47"/>
      <c r="N966" s="1548"/>
      <c r="O966" s="1548"/>
      <c r="P966" s="1548"/>
      <c r="Q966" s="1548"/>
      <c r="R966" s="1548"/>
      <c r="S966" s="1549"/>
      <c r="T966" s="66" t="s">
        <v>797</v>
      </c>
      <c r="U966" s="5"/>
      <c r="V966" s="5"/>
      <c r="W966" s="5"/>
      <c r="X966" s="5"/>
      <c r="Y966" s="5"/>
      <c r="Z966" s="46"/>
      <c r="AA966" s="1547"/>
      <c r="AB966" s="1548"/>
      <c r="AC966" s="1548"/>
      <c r="AD966" s="1548"/>
      <c r="AE966" s="1548"/>
      <c r="AF966" s="1548"/>
      <c r="AG966" s="15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47"/>
      <c r="N967" s="1548"/>
      <c r="O967" s="1548"/>
      <c r="P967" s="1548"/>
      <c r="Q967" s="1548"/>
      <c r="R967" s="1548"/>
      <c r="S967" s="1549"/>
      <c r="T967" s="66" t="s">
        <v>796</v>
      </c>
      <c r="U967" s="5"/>
      <c r="V967" s="5"/>
      <c r="W967" s="5"/>
      <c r="X967" s="5"/>
      <c r="Y967" s="5"/>
      <c r="Z967" s="46"/>
      <c r="AA967" s="1547"/>
      <c r="AB967" s="1548"/>
      <c r="AC967" s="1548"/>
      <c r="AD967" s="1548"/>
      <c r="AE967" s="1548"/>
      <c r="AF967" s="1548"/>
      <c r="AG967" s="15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712" t="s">
        <v>598</v>
      </c>
      <c r="N968" s="1713"/>
      <c r="O968" s="1713"/>
      <c r="P968" s="1713"/>
      <c r="Q968" s="1713"/>
      <c r="R968" s="1713"/>
      <c r="S968" s="1714"/>
      <c r="T968" s="45" t="s">
        <v>337</v>
      </c>
      <c r="U968" s="5"/>
      <c r="V968" s="5"/>
      <c r="W968" s="5"/>
      <c r="X968" s="5"/>
      <c r="Y968" s="5"/>
      <c r="Z968" s="46"/>
      <c r="AA968" s="1547"/>
      <c r="AB968" s="1548"/>
      <c r="AC968" s="1548"/>
      <c r="AD968" s="1548"/>
      <c r="AE968" s="1548"/>
      <c r="AF968" s="1548"/>
      <c r="AG968" s="15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47"/>
      <c r="N969" s="1548"/>
      <c r="O969" s="1548"/>
      <c r="P969" s="1548"/>
      <c r="Q969" s="1548"/>
      <c r="R969" s="1548"/>
      <c r="S969" s="1549"/>
      <c r="T969" s="45" t="s">
        <v>338</v>
      </c>
      <c r="U969" s="5"/>
      <c r="V969" s="5"/>
      <c r="W969" s="5"/>
      <c r="X969" s="5"/>
      <c r="Y969" s="5"/>
      <c r="Z969" s="46"/>
      <c r="AA969" s="1547"/>
      <c r="AB969" s="1548"/>
      <c r="AC969" s="1548"/>
      <c r="AD969" s="1548"/>
      <c r="AE969" s="1548"/>
      <c r="AF969" s="1548"/>
      <c r="AG969" s="15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47"/>
      <c r="N970" s="1548"/>
      <c r="O970" s="1548"/>
      <c r="P970" s="1548"/>
      <c r="Q970" s="1548"/>
      <c r="R970" s="1548"/>
      <c r="S970" s="1549"/>
      <c r="T970" s="45" t="s">
        <v>376</v>
      </c>
      <c r="U970" s="5"/>
      <c r="V970" s="5"/>
      <c r="W970" s="5"/>
      <c r="X970" s="5"/>
      <c r="Y970" s="5"/>
      <c r="Z970" s="46"/>
      <c r="AA970" s="1547"/>
      <c r="AB970" s="1548"/>
      <c r="AC970" s="1548"/>
      <c r="AD970" s="1548"/>
      <c r="AE970" s="1548"/>
      <c r="AF970" s="1548"/>
      <c r="AG970" s="15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595" t="s">
        <v>307</v>
      </c>
      <c r="N971" s="1596"/>
      <c r="O971" s="1596"/>
      <c r="P971" s="1596"/>
      <c r="Q971" s="1596"/>
      <c r="R971" s="1596"/>
      <c r="S971" s="1597"/>
      <c r="T971" s="1648"/>
      <c r="U971" s="1649"/>
      <c r="V971" s="1649"/>
      <c r="W971" s="1649"/>
      <c r="X971" s="1649"/>
      <c r="Y971" s="1649"/>
      <c r="Z971" s="1650"/>
      <c r="AA971" s="1547"/>
      <c r="AB971" s="1548"/>
      <c r="AC971" s="1548"/>
      <c r="AD971" s="1548"/>
      <c r="AE971" s="1548"/>
      <c r="AF971" s="1548"/>
      <c r="AG971" s="15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47"/>
      <c r="N972" s="1548"/>
      <c r="O972" s="1548"/>
      <c r="P972" s="1548"/>
      <c r="Q972" s="1548"/>
      <c r="R972" s="1548"/>
      <c r="S972" s="1549"/>
      <c r="T972" s="1648"/>
      <c r="U972" s="1649"/>
      <c r="V972" s="1649"/>
      <c r="W972" s="1649"/>
      <c r="X972" s="1649"/>
      <c r="Y972" s="1649"/>
      <c r="Z972" s="1650"/>
      <c r="AA972" s="1547"/>
      <c r="AB972" s="1548"/>
      <c r="AC972" s="1548"/>
      <c r="AD972" s="1548"/>
      <c r="AE972" s="1548"/>
      <c r="AF972" s="1548"/>
      <c r="AG972" s="15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673" t="s">
        <v>675</v>
      </c>
      <c r="P973" s="1674"/>
      <c r="Q973" s="92"/>
      <c r="R973" s="92"/>
      <c r="S973" s="93"/>
      <c r="T973" s="41" t="s">
        <v>169</v>
      </c>
      <c r="U973" s="42"/>
      <c r="V973" s="42"/>
      <c r="W973" s="1634" t="s">
        <v>334</v>
      </c>
      <c r="X973" s="1635"/>
      <c r="Y973" s="1635"/>
      <c r="Z973" s="1635"/>
      <c r="AA973" s="1635"/>
      <c r="AB973" s="1635"/>
      <c r="AC973" s="1635"/>
      <c r="AD973" s="1635"/>
      <c r="AE973" s="1635"/>
      <c r="AF973" s="1635"/>
      <c r="AG973" s="163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1" t="s">
        <v>33</v>
      </c>
      <c r="G974" s="1456"/>
      <c r="H974" s="1456"/>
      <c r="I974" s="1456"/>
      <c r="J974" s="1456"/>
      <c r="K974" s="1456"/>
      <c r="L974" s="1456"/>
      <c r="M974" s="1547"/>
      <c r="N974" s="1548"/>
      <c r="O974" s="1548"/>
      <c r="P974" s="1548"/>
      <c r="Q974" s="1548"/>
      <c r="R974" s="1548"/>
      <c r="S974" s="1549"/>
      <c r="T974" s="47"/>
      <c r="U974" s="48"/>
      <c r="V974" s="48"/>
      <c r="W974" s="48"/>
      <c r="X974" s="48"/>
      <c r="Y974" s="48"/>
      <c r="Z974" s="124" t="s">
        <v>134</v>
      </c>
      <c r="AA974" s="1656"/>
      <c r="AB974" s="1657"/>
      <c r="AC974" s="1657"/>
      <c r="AD974" s="1657"/>
      <c r="AE974" s="1657"/>
      <c r="AF974" s="1657"/>
      <c r="AG974" s="165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6"/>
      <c r="BH975" s="1646"/>
      <c r="BI975" s="1646"/>
      <c r="BJ975" s="1646"/>
      <c r="BK975" s="1646"/>
      <c r="BL975" s="164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0" t="s">
        <v>555</v>
      </c>
      <c r="B978" s="1440"/>
      <c r="C978" s="1440"/>
      <c r="D978" s="1440"/>
      <c r="E978" s="1440"/>
      <c r="F978" s="1440"/>
      <c r="G978" s="1440"/>
      <c r="H978" s="1440"/>
      <c r="I978" s="1440"/>
      <c r="J978" s="1440"/>
      <c r="K978" s="1440"/>
      <c r="L978" s="1440"/>
      <c r="M978" s="1440"/>
      <c r="N978" s="1440"/>
      <c r="O978" s="1440"/>
      <c r="P978" s="1440"/>
      <c r="Q978" s="1440"/>
      <c r="R978" s="1440"/>
      <c r="S978" s="1440"/>
      <c r="T978" s="1440"/>
      <c r="U978" s="1440"/>
      <c r="V978" s="1440"/>
      <c r="W978" s="1440"/>
      <c r="X978" s="1440"/>
      <c r="Y978" s="1440"/>
      <c r="Z978" s="1440"/>
      <c r="AA978" s="1440"/>
      <c r="AB978" s="1440"/>
      <c r="AC978" s="1440"/>
      <c r="AD978" s="1440"/>
      <c r="AE978" s="1440"/>
      <c r="AF978" s="1440"/>
      <c r="AG978" s="1440"/>
      <c r="AH978" s="1440"/>
      <c r="AI978" s="1440"/>
      <c r="AJ978" s="1440"/>
      <c r="AK978" s="1440"/>
      <c r="AL978" s="1440"/>
      <c r="AM978" s="1440"/>
      <c r="AN978" s="1440"/>
      <c r="AO978" s="1440"/>
      <c r="AP978" s="1440"/>
      <c r="AQ978" s="1440"/>
      <c r="AR978" s="1440"/>
      <c r="AS978" s="1440"/>
      <c r="AT978" s="14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0"/>
      <c r="B979" s="1440"/>
      <c r="C979" s="1440"/>
      <c r="D979" s="1440"/>
      <c r="E979" s="1440"/>
      <c r="F979" s="1440"/>
      <c r="G979" s="1440"/>
      <c r="H979" s="1440"/>
      <c r="I979" s="1440"/>
      <c r="J979" s="1440"/>
      <c r="K979" s="1440"/>
      <c r="L979" s="1440"/>
      <c r="M979" s="1440"/>
      <c r="N979" s="1440"/>
      <c r="O979" s="1440"/>
      <c r="P979" s="1440"/>
      <c r="Q979" s="1440"/>
      <c r="R979" s="1440"/>
      <c r="S979" s="1440"/>
      <c r="T979" s="1440"/>
      <c r="U979" s="1440"/>
      <c r="V979" s="1440"/>
      <c r="W979" s="1440"/>
      <c r="X979" s="1440"/>
      <c r="Y979" s="1440"/>
      <c r="Z979" s="1440"/>
      <c r="AA979" s="1440"/>
      <c r="AB979" s="1440"/>
      <c r="AC979" s="1440"/>
      <c r="AD979" s="1440"/>
      <c r="AE979" s="1440"/>
      <c r="AF979" s="1440"/>
      <c r="AG979" s="1440"/>
      <c r="AH979" s="1440"/>
      <c r="AI979" s="1440"/>
      <c r="AJ979" s="1440"/>
      <c r="AK979" s="1440"/>
      <c r="AL979" s="1440"/>
      <c r="AM979" s="1440"/>
      <c r="AN979" s="1440"/>
      <c r="AO979" s="1440"/>
      <c r="AP979" s="1440"/>
      <c r="AQ979" s="1440"/>
      <c r="AR979" s="1440"/>
      <c r="AS979" s="1440"/>
      <c r="AT979" s="14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0"/>
      <c r="B980" s="1440"/>
      <c r="C980" s="1440"/>
      <c r="D980" s="1440"/>
      <c r="E980" s="1440"/>
      <c r="F980" s="1440"/>
      <c r="G980" s="1440"/>
      <c r="H980" s="1440"/>
      <c r="I980" s="1440"/>
      <c r="J980" s="1440"/>
      <c r="K980" s="1440"/>
      <c r="L980" s="1440"/>
      <c r="M980" s="1440"/>
      <c r="N980" s="1440"/>
      <c r="O980" s="1440"/>
      <c r="P980" s="1440"/>
      <c r="Q980" s="1440"/>
      <c r="R980" s="1440"/>
      <c r="S980" s="1440"/>
      <c r="T980" s="1440"/>
      <c r="U980" s="1440"/>
      <c r="V980" s="1440"/>
      <c r="W980" s="1440"/>
      <c r="X980" s="1440"/>
      <c r="Y980" s="1440"/>
      <c r="Z980" s="1440"/>
      <c r="AA980" s="1440"/>
      <c r="AB980" s="1440"/>
      <c r="AC980" s="1440"/>
      <c r="AD980" s="1440"/>
      <c r="AE980" s="1440"/>
      <c r="AF980" s="1440"/>
      <c r="AG980" s="1440"/>
      <c r="AH980" s="1440"/>
      <c r="AI980" s="1440"/>
      <c r="AJ980" s="1440"/>
      <c r="AK980" s="1440"/>
      <c r="AL980" s="1440"/>
      <c r="AM980" s="1440"/>
      <c r="AN980" s="1440"/>
      <c r="AO980" s="1440"/>
      <c r="AP980" s="1440"/>
      <c r="AQ980" s="1440"/>
      <c r="AR980" s="1440"/>
      <c r="AS980" s="1440"/>
      <c r="AT980" s="14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9" t="s">
        <v>644</v>
      </c>
      <c r="E984" s="1560"/>
      <c r="F984" s="1560"/>
      <c r="G984" s="1560"/>
      <c r="H984" s="1560"/>
      <c r="I984" s="1560"/>
      <c r="J984" s="1560"/>
      <c r="K984" s="1560"/>
      <c r="L984" s="1560"/>
      <c r="M984" s="1560"/>
      <c r="N984" s="1560"/>
      <c r="O984" s="1560"/>
      <c r="P984" s="1560"/>
      <c r="Q984" s="1561"/>
      <c r="R984" s="1559" t="s">
        <v>645</v>
      </c>
      <c r="S984" s="1560"/>
      <c r="T984" s="1560"/>
      <c r="U984" s="1560"/>
      <c r="V984" s="1560"/>
      <c r="W984" s="1560"/>
      <c r="X984" s="1560"/>
      <c r="Y984" s="1560"/>
      <c r="Z984" s="1560"/>
      <c r="AA984" s="1561"/>
      <c r="AB984" s="1559" t="s">
        <v>646</v>
      </c>
      <c r="AC984" s="1560"/>
      <c r="AD984" s="1560"/>
      <c r="AE984" s="1560"/>
      <c r="AF984" s="1560"/>
      <c r="AG984" s="1560"/>
      <c r="AH984" s="1560"/>
      <c r="AI984" s="1561"/>
      <c r="AJ984" s="1559" t="s">
        <v>647</v>
      </c>
      <c r="AK984" s="1560"/>
      <c r="AL984" s="1560"/>
      <c r="AM984" s="1560"/>
      <c r="AN984" s="1560"/>
      <c r="AO984" s="1560"/>
      <c r="AP984" s="1560"/>
      <c r="AQ984" s="15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7" t="s">
        <v>639</v>
      </c>
      <c r="E985" s="1418"/>
      <c r="F985" s="1418"/>
      <c r="G985" s="1418"/>
      <c r="H985" s="1418"/>
      <c r="I985" s="1418"/>
      <c r="J985" s="1418"/>
      <c r="K985" s="1418"/>
      <c r="L985" s="1418"/>
      <c r="M985" s="1418"/>
      <c r="N985" s="1418"/>
      <c r="O985" s="1418"/>
      <c r="P985" s="1418"/>
      <c r="Q985" s="1419"/>
      <c r="R985" s="1562">
        <f>IF(ISNA(IF($BN$796="4%",(INDEX($BP$806:$BT$863,MATCH($CB$796,$BO$806:$BO$863,0),MATCH(D985,$BP$805:$BT$805,0))),(INDEX($BW$806:$CA$863,MATCH($CB$796,$BV$806:$BV$863,0),MATCH(D985,$BW$805:$CA$805,0))))),0,IF($BN$796="4%",(INDEX($BP$806:$BT$863,MATCH($CB$796,$BO$806:$BO$863,0),MATCH(D985,$BP$805:$BT$805,0))),(INDEX($BW$806:$CA$863,MATCH($CB$796,$BV$806:$BV$863,0),MATCH(D985,$BW$805:$CA$805,0)))))</f>
        <v>473390</v>
      </c>
      <c r="S985" s="1562"/>
      <c r="T985" s="1562"/>
      <c r="U985" s="1562"/>
      <c r="V985" s="1562"/>
      <c r="W985" s="1562"/>
      <c r="X985" s="1562"/>
      <c r="Y985" s="1562"/>
      <c r="Z985" s="1562"/>
      <c r="AA985" s="1562"/>
      <c r="AB985" s="1420">
        <f>BN660</f>
        <v>0</v>
      </c>
      <c r="AC985" s="1421"/>
      <c r="AD985" s="1421"/>
      <c r="AE985" s="1421"/>
      <c r="AF985" s="1421"/>
      <c r="AG985" s="1421"/>
      <c r="AH985" s="1421"/>
      <c r="AI985" s="1422"/>
      <c r="AJ985" s="1518">
        <f>IF(ISERROR((R985*AB985)),0,(R985*AB985))</f>
        <v>0</v>
      </c>
      <c r="AK985" s="1519"/>
      <c r="AL985" s="1519"/>
      <c r="AM985" s="1519"/>
      <c r="AN985" s="1519"/>
      <c r="AO985" s="1519"/>
      <c r="AP985" s="1519"/>
      <c r="AQ985" s="152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7" t="s">
        <v>325</v>
      </c>
      <c r="E986" s="1418"/>
      <c r="F986" s="1418"/>
      <c r="G986" s="1418"/>
      <c r="H986" s="1418"/>
      <c r="I986" s="1418"/>
      <c r="J986" s="1418"/>
      <c r="K986" s="1418"/>
      <c r="L986" s="1418"/>
      <c r="M986" s="1418"/>
      <c r="N986" s="1418"/>
      <c r="O986" s="1418"/>
      <c r="P986" s="1418"/>
      <c r="Q986" s="1419"/>
      <c r="R986" s="1562">
        <f>IF(ISNA(IF($BN$796="4%",(INDEX($BP$806:$BT$863,MATCH($CB$796,$BO$806:$BO$863,0),MATCH(D986,$BP$805:$BT$805,0))),(INDEX($BW$806:$CA$863,MATCH($CB$796,$BV$806:$BV$863,0),MATCH(D986,$BW$805:$CA$805,0))))),0,IF($BN$796="4%",(INDEX($BP$806:$BT$863,MATCH($CB$796,$BO$806:$BO$863,0),MATCH(D986,$BP$805:$BT$805,0))),(INDEX($BW$806:$CA$863,MATCH($CB$796,$BV$806:$BV$863,0),MATCH(D986,$BW$805:$CA$805,0)))))</f>
        <v>545814</v>
      </c>
      <c r="S986" s="1562"/>
      <c r="T986" s="1562"/>
      <c r="U986" s="1562"/>
      <c r="V986" s="1562"/>
      <c r="W986" s="1562"/>
      <c r="X986" s="1562"/>
      <c r="Y986" s="1562"/>
      <c r="Z986" s="1562"/>
      <c r="AA986" s="1562"/>
      <c r="AB986" s="1420">
        <f>BS660</f>
        <v>476</v>
      </c>
      <c r="AC986" s="1421"/>
      <c r="AD986" s="1421"/>
      <c r="AE986" s="1421"/>
      <c r="AF986" s="1421"/>
      <c r="AG986" s="1421"/>
      <c r="AH986" s="1421"/>
      <c r="AI986" s="1422"/>
      <c r="AJ986" s="1518">
        <f>IF(ISERROR((R986*AB986)),0,(R986*AB986))</f>
        <v>259807464</v>
      </c>
      <c r="AK986" s="1519"/>
      <c r="AL986" s="1519"/>
      <c r="AM986" s="1519"/>
      <c r="AN986" s="1519"/>
      <c r="AO986" s="1519"/>
      <c r="AP986" s="1519"/>
      <c r="AQ986" s="152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7" t="s">
        <v>163</v>
      </c>
      <c r="E987" s="1418"/>
      <c r="F987" s="1418"/>
      <c r="G987" s="1418"/>
      <c r="H987" s="1418"/>
      <c r="I987" s="1418"/>
      <c r="J987" s="1418"/>
      <c r="K987" s="1418"/>
      <c r="L987" s="1418"/>
      <c r="M987" s="1418"/>
      <c r="N987" s="1418"/>
      <c r="O987" s="1418"/>
      <c r="P987" s="1418"/>
      <c r="Q987" s="1419"/>
      <c r="R987" s="1562">
        <f>IF(ISNA(IF($BN$796="4%",(INDEX($BP$806:$BT$863,MATCH($CB$796,$BO$806:$BO$863,0),MATCH(D987,$BP$805:$BT$805,0))),(INDEX($BW$806:$CA$863,MATCH($CB$796,$BV$806:$BV$863,0),MATCH(D987,$BW$805:$CA$805,0))))),0,IF($BN$796="4%",(INDEX($BP$806:$BT$863,MATCH($CB$796,$BO$806:$BO$863,0),MATCH(D987,$BP$805:$BT$805,0))),(INDEX($BW$806:$CA$863,MATCH($CB$796,$BV$806:$BV$863,0),MATCH(D987,$BW$805:$CA$805,0)))))</f>
        <v>658400</v>
      </c>
      <c r="S987" s="1562"/>
      <c r="T987" s="1562"/>
      <c r="U987" s="1562"/>
      <c r="V987" s="1562"/>
      <c r="W987" s="1562"/>
      <c r="X987" s="1562"/>
      <c r="Y987" s="1562"/>
      <c r="Z987" s="1562"/>
      <c r="AA987" s="1562"/>
      <c r="AB987" s="1420">
        <f>BX660</f>
        <v>0</v>
      </c>
      <c r="AC987" s="1421"/>
      <c r="AD987" s="1421"/>
      <c r="AE987" s="1421"/>
      <c r="AF987" s="1421"/>
      <c r="AG987" s="1421"/>
      <c r="AH987" s="1421"/>
      <c r="AI987" s="1422"/>
      <c r="AJ987" s="1518">
        <f>IF(ISERROR((R987*AB987)),0,(R987*AB987))</f>
        <v>0</v>
      </c>
      <c r="AK987" s="1519"/>
      <c r="AL987" s="1519"/>
      <c r="AM987" s="1519"/>
      <c r="AN987" s="1519"/>
      <c r="AO987" s="1519"/>
      <c r="AP987" s="1519"/>
      <c r="AQ987" s="152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7" t="s">
        <v>164</v>
      </c>
      <c r="E988" s="1418"/>
      <c r="F988" s="1418"/>
      <c r="G988" s="1418"/>
      <c r="H988" s="1418"/>
      <c r="I988" s="1418"/>
      <c r="J988" s="1418"/>
      <c r="K988" s="1418"/>
      <c r="L988" s="1418"/>
      <c r="M988" s="1418"/>
      <c r="N988" s="1418"/>
      <c r="O988" s="1418"/>
      <c r="P988" s="1418"/>
      <c r="Q988" s="1419"/>
      <c r="R988" s="1562">
        <f>IF(ISNA(IF($BN$796="4%",(INDEX($BP$806:$BT$863,MATCH($CB$796,$BO$806:$BO$863,0),MATCH(D988,$BP$805:$BT$805,0))),(INDEX($BW$806:$CA$863,MATCH($CB$796,$BV$806:$BV$863,0),MATCH(D988,$BW$805:$CA$805,0))))),0,IF($BN$796="4%",(INDEX($BP$806:$BT$863,MATCH($CB$796,$BO$806:$BO$863,0),MATCH(D988,$BP$805:$BT$805,0))),(INDEX($BW$806:$CA$863,MATCH($CB$796,$BV$806:$BV$863,0),MATCH(D988,$BW$805:$CA$805,0)))))</f>
        <v>842752</v>
      </c>
      <c r="S988" s="1562"/>
      <c r="T988" s="1562"/>
      <c r="U988" s="1562"/>
      <c r="V988" s="1562"/>
      <c r="W988" s="1562"/>
      <c r="X988" s="1562"/>
      <c r="Y988" s="1562"/>
      <c r="Z988" s="1562"/>
      <c r="AA988" s="1562"/>
      <c r="AB988" s="1420">
        <f>CC660</f>
        <v>5</v>
      </c>
      <c r="AC988" s="1421"/>
      <c r="AD988" s="1421"/>
      <c r="AE988" s="1421"/>
      <c r="AF988" s="1421"/>
      <c r="AG988" s="1421"/>
      <c r="AH988" s="1421"/>
      <c r="AI988" s="1422"/>
      <c r="AJ988" s="1518">
        <f>IF(ISERROR((R988*AB988)),0,(R988*AB988))</f>
        <v>4213760</v>
      </c>
      <c r="AK988" s="1519"/>
      <c r="AL988" s="1519"/>
      <c r="AM988" s="1519"/>
      <c r="AN988" s="1519"/>
      <c r="AO988" s="1519"/>
      <c r="AP988" s="1519"/>
      <c r="AQ988" s="152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7" t="s">
        <v>467</v>
      </c>
      <c r="E989" s="1418"/>
      <c r="F989" s="1418"/>
      <c r="G989" s="1418"/>
      <c r="H989" s="1418"/>
      <c r="I989" s="1418"/>
      <c r="J989" s="1418"/>
      <c r="K989" s="1418"/>
      <c r="L989" s="1418"/>
      <c r="M989" s="1418"/>
      <c r="N989" s="1418"/>
      <c r="O989" s="1418"/>
      <c r="P989" s="1418"/>
      <c r="Q989" s="1419"/>
      <c r="R989" s="1562">
        <f>IF(ISNA(IF($BN$796="4%",(INDEX($BP$806:$BT$863,MATCH($CB$796,$BO$806:$BO$863,0),MATCH(D989,$BP$805:$BT$805,0))),(INDEX($BW$806:$CA$863,MATCH($CB$796,$BV$806:$BV$863,0),MATCH(D989,$BW$805:$CA$805,0))))),0,IF($BN$796="4%",(INDEX($BP$806:$BT$863,MATCH($CB$796,$BO$806:$BO$863,0),MATCH(D989,$BP$805:$BT$805,0))),(INDEX($BW$806:$CA$863,MATCH($CB$796,$BV$806:$BV$863,0),MATCH(D989,$BW$805:$CA$805,0)))))</f>
        <v>938878</v>
      </c>
      <c r="S989" s="1562"/>
      <c r="T989" s="1562"/>
      <c r="U989" s="1562"/>
      <c r="V989" s="1562"/>
      <c r="W989" s="1562"/>
      <c r="X989" s="1562"/>
      <c r="Y989" s="1562"/>
      <c r="Z989" s="1562"/>
      <c r="AA989" s="1562"/>
      <c r="AB989" s="1420">
        <f>CM660+CH660</f>
        <v>0</v>
      </c>
      <c r="AC989" s="1421"/>
      <c r="AD989" s="1421"/>
      <c r="AE989" s="1421"/>
      <c r="AF989" s="1421"/>
      <c r="AG989" s="1421"/>
      <c r="AH989" s="1421"/>
      <c r="AI989" s="1422"/>
      <c r="AJ989" s="1518">
        <f>IF(ISERROR((R989*AB989)),0,(R989*AB989))</f>
        <v>0</v>
      </c>
      <c r="AK989" s="1519"/>
      <c r="AL989" s="1519"/>
      <c r="AM989" s="1519"/>
      <c r="AN989" s="1519"/>
      <c r="AO989" s="1519"/>
      <c r="AP989" s="1519"/>
      <c r="AQ989" s="152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6" t="s">
        <v>798</v>
      </c>
      <c r="C990" s="1587"/>
      <c r="D990" s="1587"/>
      <c r="E990" s="1587"/>
      <c r="F990" s="1587"/>
      <c r="G990" s="1587"/>
      <c r="H990" s="1587"/>
      <c r="I990" s="1587"/>
      <c r="J990" s="1587"/>
      <c r="K990" s="1587"/>
      <c r="L990" s="1587"/>
      <c r="M990" s="1587"/>
      <c r="N990" s="1587"/>
      <c r="O990" s="1587"/>
      <c r="P990" s="1587"/>
      <c r="Q990" s="1587"/>
      <c r="R990" s="1587"/>
      <c r="S990" s="1587"/>
      <c r="T990" s="1587"/>
      <c r="U990" s="1587"/>
      <c r="V990" s="1587"/>
      <c r="W990" s="1587"/>
      <c r="X990" s="1587"/>
      <c r="Y990" s="1587"/>
      <c r="Z990" s="1587"/>
      <c r="AA990" s="1588"/>
      <c r="AB990" s="1420">
        <f>SUM(AB985:AI989)</f>
        <v>481</v>
      </c>
      <c r="AC990" s="1421"/>
      <c r="AD990" s="1421"/>
      <c r="AE990" s="1421"/>
      <c r="AF990" s="1421"/>
      <c r="AG990" s="1421"/>
      <c r="AH990" s="1421"/>
      <c r="AI990" s="1422"/>
      <c r="AJ990" s="1518"/>
      <c r="AK990" s="1519"/>
      <c r="AL990" s="1519"/>
      <c r="AM990" s="1519"/>
      <c r="AN990" s="1519"/>
      <c r="AO990" s="1519"/>
      <c r="AP990" s="1519"/>
      <c r="AQ990" s="152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7" t="s">
        <v>519</v>
      </c>
      <c r="C991" s="1578"/>
      <c r="D991" s="1578"/>
      <c r="E991" s="1578"/>
      <c r="F991" s="1578"/>
      <c r="G991" s="1578"/>
      <c r="H991" s="1578"/>
      <c r="I991" s="1578"/>
      <c r="J991" s="1578"/>
      <c r="K991" s="1578"/>
      <c r="L991" s="1578"/>
      <c r="M991" s="1578"/>
      <c r="N991" s="1578"/>
      <c r="O991" s="1578"/>
      <c r="P991" s="1578"/>
      <c r="Q991" s="1578"/>
      <c r="R991" s="1578"/>
      <c r="S991" s="1578"/>
      <c r="T991" s="1578"/>
      <c r="U991" s="1578"/>
      <c r="V991" s="1578"/>
      <c r="W991" s="1578"/>
      <c r="X991" s="1578"/>
      <c r="Y991" s="1578"/>
      <c r="Z991" s="1578"/>
      <c r="AA991" s="1578"/>
      <c r="AB991" s="1578"/>
      <c r="AC991" s="1578"/>
      <c r="AD991" s="1578"/>
      <c r="AE991" s="1578"/>
      <c r="AF991" s="1578"/>
      <c r="AG991" s="1578"/>
      <c r="AH991" s="1578"/>
      <c r="AI991" s="1579"/>
      <c r="AJ991" s="1518">
        <f>SUM(AJ985:AQ989)</f>
        <v>264021224</v>
      </c>
      <c r="AK991" s="1519"/>
      <c r="AL991" s="1519"/>
      <c r="AM991" s="1519"/>
      <c r="AN991" s="1519"/>
      <c r="AO991" s="1519"/>
      <c r="AP991" s="1519"/>
      <c r="AQ991" s="152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1"/>
      <c r="C992" s="1522"/>
      <c r="D992" s="1522"/>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527" t="s">
        <v>672</v>
      </c>
      <c r="AG992" s="1528"/>
      <c r="AH992" s="1528"/>
      <c r="AI992" s="1529"/>
      <c r="AJ992" s="1521"/>
      <c r="AK992" s="1522"/>
      <c r="AL992" s="1522"/>
      <c r="AM992" s="1522"/>
      <c r="AN992" s="1522"/>
      <c r="AO992" s="1522"/>
      <c r="AP992" s="1522"/>
      <c r="AQ992" s="152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534" t="s">
        <v>1323</v>
      </c>
      <c r="E993" s="1535"/>
      <c r="F993" s="1535"/>
      <c r="G993" s="1535"/>
      <c r="H993" s="1535"/>
      <c r="I993" s="1535"/>
      <c r="J993" s="1535"/>
      <c r="K993" s="1535"/>
      <c r="L993" s="1535"/>
      <c r="M993" s="1535"/>
      <c r="N993" s="1535"/>
      <c r="O993" s="1535"/>
      <c r="P993" s="1535"/>
      <c r="Q993" s="1535"/>
      <c r="R993" s="1535"/>
      <c r="S993" s="1535"/>
      <c r="T993" s="1535"/>
      <c r="U993" s="1535"/>
      <c r="V993" s="1535"/>
      <c r="W993" s="1535"/>
      <c r="X993" s="1535"/>
      <c r="Y993" s="1535"/>
      <c r="Z993" s="1535"/>
      <c r="AA993" s="1535"/>
      <c r="AB993" s="1535"/>
      <c r="AC993" s="1535"/>
      <c r="AD993" s="1535"/>
      <c r="AE993" s="1536"/>
      <c r="AF993" s="79"/>
      <c r="AG993" s="1530" t="s">
        <v>675</v>
      </c>
      <c r="AH993" s="1531"/>
      <c r="AI993" s="87"/>
      <c r="AJ993" s="1425">
        <f>ROUND(IF(AND(AG993="yes",D999&gt;0),AJ991*0.2,0),0)</f>
        <v>0</v>
      </c>
      <c r="AK993" s="1426"/>
      <c r="AL993" s="1426"/>
      <c r="AM993" s="1426"/>
      <c r="AN993" s="1426"/>
      <c r="AO993" s="1426"/>
      <c r="AP993" s="1426"/>
      <c r="AQ993" s="142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3" t="s">
        <v>2563</v>
      </c>
      <c r="E994" s="1584"/>
      <c r="F994" s="1584"/>
      <c r="G994" s="1584"/>
      <c r="H994" s="1584"/>
      <c r="I994" s="1584"/>
      <c r="J994" s="1584"/>
      <c r="K994" s="1584"/>
      <c r="L994" s="1584"/>
      <c r="M994" s="1584"/>
      <c r="N994" s="1584"/>
      <c r="O994" s="1584"/>
      <c r="P994" s="1584"/>
      <c r="Q994" s="1584"/>
      <c r="R994" s="1584"/>
      <c r="S994" s="1584"/>
      <c r="T994" s="1584"/>
      <c r="U994" s="1584"/>
      <c r="V994" s="1584"/>
      <c r="W994" s="1584"/>
      <c r="X994" s="1584"/>
      <c r="Y994" s="1584"/>
      <c r="Z994" s="1584"/>
      <c r="AA994" s="1584"/>
      <c r="AB994" s="1584"/>
      <c r="AC994" s="1584"/>
      <c r="AD994" s="1584"/>
      <c r="AE994" s="1585"/>
      <c r="AF994" s="73"/>
      <c r="AG994" s="14"/>
      <c r="AH994" s="14"/>
      <c r="AI994" s="83"/>
      <c r="AJ994" s="1428"/>
      <c r="AK994" s="1429"/>
      <c r="AL994" s="1429"/>
      <c r="AM994" s="1429"/>
      <c r="AN994" s="1429"/>
      <c r="AO994" s="1429"/>
      <c r="AP994" s="1429"/>
      <c r="AQ994" s="143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3"/>
      <c r="E995" s="1584"/>
      <c r="F995" s="1584"/>
      <c r="G995" s="1584"/>
      <c r="H995" s="1584"/>
      <c r="I995" s="1584"/>
      <c r="J995" s="1584"/>
      <c r="K995" s="1584"/>
      <c r="L995" s="1584"/>
      <c r="M995" s="1584"/>
      <c r="N995" s="1584"/>
      <c r="O995" s="1584"/>
      <c r="P995" s="1584"/>
      <c r="Q995" s="1584"/>
      <c r="R995" s="1584"/>
      <c r="S995" s="1584"/>
      <c r="T995" s="1584"/>
      <c r="U995" s="1584"/>
      <c r="V995" s="1584"/>
      <c r="W995" s="1584"/>
      <c r="X995" s="1584"/>
      <c r="Y995" s="1584"/>
      <c r="Z995" s="1584"/>
      <c r="AA995" s="1584"/>
      <c r="AB995" s="1584"/>
      <c r="AC995" s="1584"/>
      <c r="AD995" s="1584"/>
      <c r="AE995" s="1585"/>
      <c r="AF995" s="73"/>
      <c r="AG995" s="14"/>
      <c r="AH995" s="14"/>
      <c r="AI995" s="83"/>
      <c r="AJ995" s="1428"/>
      <c r="AK995" s="1429"/>
      <c r="AL995" s="1429"/>
      <c r="AM995" s="1429"/>
      <c r="AN995" s="1429"/>
      <c r="AO995" s="1429"/>
      <c r="AP995" s="1429"/>
      <c r="AQ995" s="143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3"/>
      <c r="E996" s="1584"/>
      <c r="F996" s="1584"/>
      <c r="G996" s="1584"/>
      <c r="H996" s="1584"/>
      <c r="I996" s="1584"/>
      <c r="J996" s="1584"/>
      <c r="K996" s="1584"/>
      <c r="L996" s="1584"/>
      <c r="M996" s="1584"/>
      <c r="N996" s="1584"/>
      <c r="O996" s="1584"/>
      <c r="P996" s="1584"/>
      <c r="Q996" s="1584"/>
      <c r="R996" s="1584"/>
      <c r="S996" s="1584"/>
      <c r="T996" s="1584"/>
      <c r="U996" s="1584"/>
      <c r="V996" s="1584"/>
      <c r="W996" s="1584"/>
      <c r="X996" s="1584"/>
      <c r="Y996" s="1584"/>
      <c r="Z996" s="1584"/>
      <c r="AA996" s="1584"/>
      <c r="AB996" s="1584"/>
      <c r="AC996" s="1584"/>
      <c r="AD996" s="1584"/>
      <c r="AE996" s="1585"/>
      <c r="AF996" s="73"/>
      <c r="AG996" s="14"/>
      <c r="AH996" s="14"/>
      <c r="AI996" s="83"/>
      <c r="AJ996" s="1428"/>
      <c r="AK996" s="1429"/>
      <c r="AL996" s="1429"/>
      <c r="AM996" s="1429"/>
      <c r="AN996" s="1429"/>
      <c r="AO996" s="1429"/>
      <c r="AP996" s="1429"/>
      <c r="AQ996" s="143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3"/>
      <c r="E997" s="1584"/>
      <c r="F997" s="1584"/>
      <c r="G997" s="1584"/>
      <c r="H997" s="1584"/>
      <c r="I997" s="1584"/>
      <c r="J997" s="1584"/>
      <c r="K997" s="1584"/>
      <c r="L997" s="1584"/>
      <c r="M997" s="1584"/>
      <c r="N997" s="1584"/>
      <c r="O997" s="1584"/>
      <c r="P997" s="1584"/>
      <c r="Q997" s="1584"/>
      <c r="R997" s="1584"/>
      <c r="S997" s="1584"/>
      <c r="T997" s="1584"/>
      <c r="U997" s="1584"/>
      <c r="V997" s="1584"/>
      <c r="W997" s="1584"/>
      <c r="X997" s="1584"/>
      <c r="Y997" s="1584"/>
      <c r="Z997" s="1584"/>
      <c r="AA997" s="1584"/>
      <c r="AB997" s="1584"/>
      <c r="AC997" s="1584"/>
      <c r="AD997" s="1584"/>
      <c r="AE997" s="1585"/>
      <c r="AF997" s="73"/>
      <c r="AG997" s="14"/>
      <c r="AH997" s="14"/>
      <c r="AI997" s="83"/>
      <c r="AJ997" s="1428"/>
      <c r="AK997" s="1429"/>
      <c r="AL997" s="1429"/>
      <c r="AM997" s="1429"/>
      <c r="AN997" s="1429"/>
      <c r="AO997" s="1429"/>
      <c r="AP997" s="1429"/>
      <c r="AQ997" s="143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9" t="s">
        <v>2564</v>
      </c>
      <c r="E998" s="1590"/>
      <c r="F998" s="1590"/>
      <c r="G998" s="1590"/>
      <c r="H998" s="1590"/>
      <c r="I998" s="1590"/>
      <c r="J998" s="1590"/>
      <c r="K998" s="1590"/>
      <c r="L998" s="1590"/>
      <c r="M998" s="1590"/>
      <c r="N998" s="1590"/>
      <c r="O998" s="1590"/>
      <c r="P998" s="1590"/>
      <c r="Q998" s="1590"/>
      <c r="R998" s="1590"/>
      <c r="S998" s="1590"/>
      <c r="T998" s="1590"/>
      <c r="U998" s="1590"/>
      <c r="V998" s="1590"/>
      <c r="W998" s="1590"/>
      <c r="X998" s="1590"/>
      <c r="Y998" s="1590"/>
      <c r="Z998" s="1590"/>
      <c r="AA998" s="1590"/>
      <c r="AB998" s="1590"/>
      <c r="AC998" s="1590"/>
      <c r="AD998" s="1590"/>
      <c r="AE998" s="1591"/>
      <c r="AF998" s="73"/>
      <c r="AG998" s="14"/>
      <c r="AH998" s="14"/>
      <c r="AI998" s="83"/>
      <c r="AJ998" s="1428"/>
      <c r="AK998" s="1429"/>
      <c r="AL998" s="1429"/>
      <c r="AM998" s="1429"/>
      <c r="AN998" s="1429"/>
      <c r="AO998" s="1429"/>
      <c r="AP998" s="1429"/>
      <c r="AQ998" s="143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1"/>
      <c r="AK999" s="1432"/>
      <c r="AL999" s="1432"/>
      <c r="AM999" s="1432"/>
      <c r="AN999" s="1432"/>
      <c r="AO999" s="1432"/>
      <c r="AP999" s="1432"/>
      <c r="AQ999" s="143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4" t="s">
        <v>1391</v>
      </c>
      <c r="E1000" s="1525"/>
      <c r="F1000" s="1525"/>
      <c r="G1000" s="1525"/>
      <c r="H1000" s="1525"/>
      <c r="I1000" s="1525"/>
      <c r="J1000" s="1525"/>
      <c r="K1000" s="1525"/>
      <c r="L1000" s="1525"/>
      <c r="M1000" s="1525"/>
      <c r="N1000" s="1525"/>
      <c r="O1000" s="1525"/>
      <c r="P1000" s="1525"/>
      <c r="Q1000" s="1525"/>
      <c r="R1000" s="1525"/>
      <c r="S1000" s="1525"/>
      <c r="T1000" s="1525"/>
      <c r="U1000" s="1525"/>
      <c r="V1000" s="1525"/>
      <c r="W1000" s="1525"/>
      <c r="X1000" s="1525"/>
      <c r="Y1000" s="1525"/>
      <c r="Z1000" s="1525"/>
      <c r="AA1000" s="1525"/>
      <c r="AB1000" s="1525"/>
      <c r="AC1000" s="1525"/>
      <c r="AD1000" s="1525"/>
      <c r="AE1000" s="1526"/>
      <c r="AF1000" s="79"/>
      <c r="AG1000" s="1532" t="s">
        <v>675</v>
      </c>
      <c r="AH1000" s="1533"/>
      <c r="AI1000" s="87"/>
      <c r="AJ1000" s="1425">
        <f>ROUND(IF(AG1000="yes",AJ991*0.05,0),0)</f>
        <v>0</v>
      </c>
      <c r="AK1000" s="1426"/>
      <c r="AL1000" s="1426"/>
      <c r="AM1000" s="1426"/>
      <c r="AN1000" s="1426"/>
      <c r="AO1000" s="1426"/>
      <c r="AP1000" s="1426"/>
      <c r="AQ1000" s="142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3" t="s">
        <v>1389</v>
      </c>
      <c r="E1001" s="1584"/>
      <c r="F1001" s="1584"/>
      <c r="G1001" s="1584"/>
      <c r="H1001" s="1584"/>
      <c r="I1001" s="1584"/>
      <c r="J1001" s="1584"/>
      <c r="K1001" s="1584"/>
      <c r="L1001" s="1584"/>
      <c r="M1001" s="1584"/>
      <c r="N1001" s="1584"/>
      <c r="O1001" s="1584"/>
      <c r="P1001" s="1584"/>
      <c r="Q1001" s="1584"/>
      <c r="R1001" s="1584"/>
      <c r="S1001" s="1584"/>
      <c r="T1001" s="1584"/>
      <c r="U1001" s="1584"/>
      <c r="V1001" s="1584"/>
      <c r="W1001" s="1584"/>
      <c r="X1001" s="1584"/>
      <c r="Y1001" s="1584"/>
      <c r="Z1001" s="1584"/>
      <c r="AA1001" s="1584"/>
      <c r="AB1001" s="1584"/>
      <c r="AC1001" s="1584"/>
      <c r="AD1001" s="1584"/>
      <c r="AE1001" s="1585"/>
      <c r="AF1001" s="73"/>
      <c r="AG1001" s="14"/>
      <c r="AH1001" s="14"/>
      <c r="AI1001" s="83"/>
      <c r="AJ1001" s="1428"/>
      <c r="AK1001" s="1429"/>
      <c r="AL1001" s="1429"/>
      <c r="AM1001" s="1429"/>
      <c r="AN1001" s="1429"/>
      <c r="AO1001" s="1429"/>
      <c r="AP1001" s="1429"/>
      <c r="AQ1001" s="143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3"/>
      <c r="E1002" s="1584"/>
      <c r="F1002" s="1584"/>
      <c r="G1002" s="1584"/>
      <c r="H1002" s="1584"/>
      <c r="I1002" s="1584"/>
      <c r="J1002" s="1584"/>
      <c r="K1002" s="1584"/>
      <c r="L1002" s="1584"/>
      <c r="M1002" s="1584"/>
      <c r="N1002" s="1584"/>
      <c r="O1002" s="1584"/>
      <c r="P1002" s="1584"/>
      <c r="Q1002" s="1584"/>
      <c r="R1002" s="1584"/>
      <c r="S1002" s="1584"/>
      <c r="T1002" s="1584"/>
      <c r="U1002" s="1584"/>
      <c r="V1002" s="1584"/>
      <c r="W1002" s="1584"/>
      <c r="X1002" s="1584"/>
      <c r="Y1002" s="1584"/>
      <c r="Z1002" s="1584"/>
      <c r="AA1002" s="1584"/>
      <c r="AB1002" s="1584"/>
      <c r="AC1002" s="1584"/>
      <c r="AD1002" s="1584"/>
      <c r="AE1002" s="1585"/>
      <c r="AF1002" s="73"/>
      <c r="AG1002" s="14"/>
      <c r="AH1002" s="14"/>
      <c r="AI1002" s="83"/>
      <c r="AJ1002" s="1428"/>
      <c r="AK1002" s="1429"/>
      <c r="AL1002" s="1429"/>
      <c r="AM1002" s="1429"/>
      <c r="AN1002" s="1429"/>
      <c r="AO1002" s="1429"/>
      <c r="AP1002" s="1429"/>
      <c r="AQ1002" s="1430"/>
      <c r="AR1002" s="68"/>
      <c r="AS1002" s="68"/>
      <c r="AT1002" s="68"/>
      <c r="AU1002" s="68"/>
      <c r="AV1002" s="68"/>
      <c r="AW1002" s="68"/>
      <c r="AX1002" s="68"/>
      <c r="AY1002" s="949">
        <f>G753+O797</f>
        <v>476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3"/>
      <c r="E1003" s="1584"/>
      <c r="F1003" s="1584"/>
      <c r="G1003" s="1584"/>
      <c r="H1003" s="1584"/>
      <c r="I1003" s="1584"/>
      <c r="J1003" s="1584"/>
      <c r="K1003" s="1584"/>
      <c r="L1003" s="1584"/>
      <c r="M1003" s="1584"/>
      <c r="N1003" s="1584"/>
      <c r="O1003" s="1584"/>
      <c r="P1003" s="1584"/>
      <c r="Q1003" s="1584"/>
      <c r="R1003" s="1584"/>
      <c r="S1003" s="1584"/>
      <c r="T1003" s="1584"/>
      <c r="U1003" s="1584"/>
      <c r="V1003" s="1584"/>
      <c r="W1003" s="1584"/>
      <c r="X1003" s="1584"/>
      <c r="Y1003" s="1584"/>
      <c r="Z1003" s="1584"/>
      <c r="AA1003" s="1584"/>
      <c r="AB1003" s="1584"/>
      <c r="AC1003" s="1584"/>
      <c r="AD1003" s="1584"/>
      <c r="AE1003" s="1585"/>
      <c r="AF1003" s="73"/>
      <c r="AG1003" s="14"/>
      <c r="AH1003" s="14"/>
      <c r="AI1003" s="83"/>
      <c r="AJ1003" s="1428"/>
      <c r="AK1003" s="1429"/>
      <c r="AL1003" s="1429"/>
      <c r="AM1003" s="1429"/>
      <c r="AN1003" s="1429"/>
      <c r="AO1003" s="1429"/>
      <c r="AP1003" s="1429"/>
      <c r="AQ1003" s="143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3"/>
      <c r="E1004" s="1584"/>
      <c r="F1004" s="1584"/>
      <c r="G1004" s="1584"/>
      <c r="H1004" s="1584"/>
      <c r="I1004" s="1584"/>
      <c r="J1004" s="1584"/>
      <c r="K1004" s="1584"/>
      <c r="L1004" s="1584"/>
      <c r="M1004" s="1584"/>
      <c r="N1004" s="1584"/>
      <c r="O1004" s="1584"/>
      <c r="P1004" s="1584"/>
      <c r="Q1004" s="1584"/>
      <c r="R1004" s="1584"/>
      <c r="S1004" s="1584"/>
      <c r="T1004" s="1584"/>
      <c r="U1004" s="1584"/>
      <c r="V1004" s="1584"/>
      <c r="W1004" s="1584"/>
      <c r="X1004" s="1584"/>
      <c r="Y1004" s="1584"/>
      <c r="Z1004" s="1584"/>
      <c r="AA1004" s="1584"/>
      <c r="AB1004" s="1584"/>
      <c r="AC1004" s="1584"/>
      <c r="AD1004" s="1584"/>
      <c r="AE1004" s="1585"/>
      <c r="AF1004" s="73"/>
      <c r="AG1004" s="14"/>
      <c r="AH1004" s="14"/>
      <c r="AI1004" s="83"/>
      <c r="AJ1004" s="1428"/>
      <c r="AK1004" s="1429"/>
      <c r="AL1004" s="1429"/>
      <c r="AM1004" s="1429"/>
      <c r="AN1004" s="1429"/>
      <c r="AO1004" s="1429"/>
      <c r="AP1004" s="1429"/>
      <c r="AQ1004" s="1430"/>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9"/>
      <c r="E1005" s="1590"/>
      <c r="F1005" s="1590"/>
      <c r="G1005" s="1590"/>
      <c r="H1005" s="1590"/>
      <c r="I1005" s="1590"/>
      <c r="J1005" s="1590"/>
      <c r="K1005" s="1590"/>
      <c r="L1005" s="1590"/>
      <c r="M1005" s="1590"/>
      <c r="N1005" s="1590"/>
      <c r="O1005" s="1590"/>
      <c r="P1005" s="1590"/>
      <c r="Q1005" s="1590"/>
      <c r="R1005" s="1590"/>
      <c r="S1005" s="1590"/>
      <c r="T1005" s="1590"/>
      <c r="U1005" s="1590"/>
      <c r="V1005" s="1590"/>
      <c r="W1005" s="1590"/>
      <c r="X1005" s="1590"/>
      <c r="Y1005" s="1590"/>
      <c r="Z1005" s="1590"/>
      <c r="AA1005" s="1590"/>
      <c r="AB1005" s="1590"/>
      <c r="AC1005" s="1590"/>
      <c r="AD1005" s="1590"/>
      <c r="AE1005" s="1591"/>
      <c r="AF1005" s="77"/>
      <c r="AG1005" s="7"/>
      <c r="AH1005" s="7"/>
      <c r="AI1005" s="78"/>
      <c r="AJ1005" s="1431"/>
      <c r="AK1005" s="1432"/>
      <c r="AL1005" s="1432"/>
      <c r="AM1005" s="1432"/>
      <c r="AN1005" s="1432"/>
      <c r="AO1005" s="1432"/>
      <c r="AP1005" s="1432"/>
      <c r="AQ1005" s="143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524" t="s">
        <v>1868</v>
      </c>
      <c r="E1006" s="1525"/>
      <c r="F1006" s="1525"/>
      <c r="G1006" s="1525"/>
      <c r="H1006" s="1525"/>
      <c r="I1006" s="1525"/>
      <c r="J1006" s="1525"/>
      <c r="K1006" s="1525"/>
      <c r="L1006" s="1525"/>
      <c r="M1006" s="1525"/>
      <c r="N1006" s="1525"/>
      <c r="O1006" s="1525"/>
      <c r="P1006" s="1525"/>
      <c r="Q1006" s="1525"/>
      <c r="R1006" s="1525"/>
      <c r="S1006" s="1525"/>
      <c r="T1006" s="1525"/>
      <c r="U1006" s="1525"/>
      <c r="V1006" s="1525"/>
      <c r="W1006" s="1525"/>
      <c r="X1006" s="1525"/>
      <c r="Y1006" s="1525"/>
      <c r="Z1006" s="1525"/>
      <c r="AA1006" s="1525"/>
      <c r="AB1006" s="1525"/>
      <c r="AC1006" s="1525"/>
      <c r="AD1006" s="1525"/>
      <c r="AE1006" s="1526"/>
      <c r="AF1006" s="86"/>
      <c r="AG1006" s="1532" t="s">
        <v>675</v>
      </c>
      <c r="AH1006" s="1533"/>
      <c r="AI1006" s="87"/>
      <c r="AJ1006" s="1425">
        <f>ROUND(IF(AG1006="yes",AJ991*0.1,0),0)</f>
        <v>0</v>
      </c>
      <c r="AK1006" s="1426"/>
      <c r="AL1006" s="1426"/>
      <c r="AM1006" s="1426"/>
      <c r="AN1006" s="1426"/>
      <c r="AO1006" s="1426"/>
      <c r="AP1006" s="1426"/>
      <c r="AQ1006" s="1427"/>
      <c r="AR1006" s="68"/>
      <c r="AS1006" s="68"/>
      <c r="AT1006" s="68"/>
      <c r="AU1006" s="68"/>
      <c r="AV1006" s="68"/>
      <c r="AW1006" s="68"/>
      <c r="AX1006" s="68"/>
      <c r="BB1006" s="34"/>
      <c r="BD1006" s="34"/>
      <c r="BE1006" s="34"/>
      <c r="BF1006" s="34"/>
    </row>
    <row r="1007" spans="1:157" ht="12.95" customHeight="1">
      <c r="A1007" s="14"/>
      <c r="B1007" s="73"/>
      <c r="C1007" s="74"/>
      <c r="D1007" s="1537" t="s">
        <v>1390</v>
      </c>
      <c r="E1007" s="1538"/>
      <c r="F1007" s="1538"/>
      <c r="G1007" s="1538"/>
      <c r="H1007" s="1538"/>
      <c r="I1007" s="1538"/>
      <c r="J1007" s="1538"/>
      <c r="K1007" s="1538"/>
      <c r="L1007" s="1538"/>
      <c r="M1007" s="1538"/>
      <c r="N1007" s="1538"/>
      <c r="O1007" s="1538"/>
      <c r="P1007" s="1538"/>
      <c r="Q1007" s="1538"/>
      <c r="R1007" s="1538"/>
      <c r="S1007" s="1538"/>
      <c r="T1007" s="1538"/>
      <c r="U1007" s="1538"/>
      <c r="V1007" s="1538"/>
      <c r="W1007" s="1538"/>
      <c r="X1007" s="1538"/>
      <c r="Y1007" s="1538"/>
      <c r="Z1007" s="1538"/>
      <c r="AA1007" s="1538"/>
      <c r="AB1007" s="1538"/>
      <c r="AC1007" s="1538"/>
      <c r="AD1007" s="1538"/>
      <c r="AE1007" s="1539"/>
      <c r="AF1007" s="73"/>
      <c r="AI1007" s="83"/>
      <c r="AJ1007" s="1428"/>
      <c r="AK1007" s="1429"/>
      <c r="AL1007" s="1429"/>
      <c r="AM1007" s="1429"/>
      <c r="AN1007" s="1429"/>
      <c r="AO1007" s="1429"/>
      <c r="AP1007" s="1429"/>
      <c r="AQ1007" s="1430"/>
      <c r="AR1007" s="68"/>
      <c r="AS1007" s="68"/>
      <c r="AT1007" s="68"/>
      <c r="AU1007" s="68"/>
      <c r="AV1007" s="68"/>
      <c r="AW1007" s="68"/>
      <c r="AX1007" s="68"/>
    </row>
    <row r="1008" spans="1:157" ht="12.95" customHeight="1">
      <c r="A1008" s="14"/>
      <c r="B1008" s="73"/>
      <c r="C1008" s="74"/>
      <c r="D1008" s="1537"/>
      <c r="E1008" s="1538"/>
      <c r="F1008" s="1538"/>
      <c r="G1008" s="1538"/>
      <c r="H1008" s="1538"/>
      <c r="I1008" s="1538"/>
      <c r="J1008" s="1538"/>
      <c r="K1008" s="1538"/>
      <c r="L1008" s="1538"/>
      <c r="M1008" s="1538"/>
      <c r="N1008" s="1538"/>
      <c r="O1008" s="1538"/>
      <c r="P1008" s="1538"/>
      <c r="Q1008" s="1538"/>
      <c r="R1008" s="1538"/>
      <c r="S1008" s="1538"/>
      <c r="T1008" s="1538"/>
      <c r="U1008" s="1538"/>
      <c r="V1008" s="1538"/>
      <c r="W1008" s="1538"/>
      <c r="X1008" s="1538"/>
      <c r="Y1008" s="1538"/>
      <c r="Z1008" s="1538"/>
      <c r="AA1008" s="1538"/>
      <c r="AB1008" s="1538"/>
      <c r="AC1008" s="1538"/>
      <c r="AD1008" s="1538"/>
      <c r="AE1008" s="1539"/>
      <c r="AF1008" s="73"/>
      <c r="AG1008" s="14"/>
      <c r="AH1008" s="14"/>
      <c r="AI1008" s="83"/>
      <c r="AJ1008" s="1428"/>
      <c r="AK1008" s="1429"/>
      <c r="AL1008" s="1429"/>
      <c r="AM1008" s="1429"/>
      <c r="AN1008" s="1429"/>
      <c r="AO1008" s="1429"/>
      <c r="AP1008" s="1429"/>
      <c r="AQ1008" s="1430"/>
      <c r="AR1008" s="68"/>
      <c r="AS1008" s="68"/>
      <c r="AT1008" s="68"/>
      <c r="AU1008" s="68"/>
      <c r="AV1008" s="68"/>
      <c r="AW1008" s="68"/>
      <c r="AX1008" s="68"/>
    </row>
    <row r="1009" spans="1:51" ht="12.95" customHeight="1">
      <c r="A1009" s="14"/>
      <c r="B1009" s="85"/>
      <c r="C1009" s="76"/>
      <c r="D1009" s="1540"/>
      <c r="E1009" s="1541"/>
      <c r="F1009" s="1541"/>
      <c r="G1009" s="1541"/>
      <c r="H1009" s="1541"/>
      <c r="I1009" s="1541"/>
      <c r="J1009" s="1541"/>
      <c r="K1009" s="1541"/>
      <c r="L1009" s="1541"/>
      <c r="M1009" s="1541"/>
      <c r="N1009" s="1541"/>
      <c r="O1009" s="1541"/>
      <c r="P1009" s="1541"/>
      <c r="Q1009" s="1541"/>
      <c r="R1009" s="1541"/>
      <c r="S1009" s="1541"/>
      <c r="T1009" s="1541"/>
      <c r="U1009" s="1541"/>
      <c r="V1009" s="1541"/>
      <c r="W1009" s="1541"/>
      <c r="X1009" s="1541"/>
      <c r="Y1009" s="1541"/>
      <c r="Z1009" s="1541"/>
      <c r="AA1009" s="1541"/>
      <c r="AB1009" s="1541"/>
      <c r="AC1009" s="1541"/>
      <c r="AD1009" s="1541"/>
      <c r="AE1009" s="1542"/>
      <c r="AF1009" s="77"/>
      <c r="AG1009" s="7"/>
      <c r="AH1009" s="7"/>
      <c r="AI1009" s="78"/>
      <c r="AJ1009" s="1431"/>
      <c r="AK1009" s="1432"/>
      <c r="AL1009" s="1432"/>
      <c r="AM1009" s="1432"/>
      <c r="AN1009" s="1432"/>
      <c r="AO1009" s="1432"/>
      <c r="AP1009" s="1432"/>
      <c r="AQ1009" s="1433"/>
      <c r="AR1009" s="68"/>
      <c r="AS1009" s="68"/>
      <c r="AT1009" s="68"/>
      <c r="AU1009" s="68"/>
      <c r="AV1009" s="68"/>
      <c r="AW1009" s="68"/>
      <c r="AX1009" s="68"/>
    </row>
    <row r="1010" spans="1:51" ht="12.95" customHeight="1">
      <c r="A1010" s="14"/>
      <c r="B1010" s="79"/>
      <c r="C1010" s="80" t="s">
        <v>212</v>
      </c>
      <c r="D1010" s="1524" t="s">
        <v>1392</v>
      </c>
      <c r="E1010" s="1525"/>
      <c r="F1010" s="1525"/>
      <c r="G1010" s="1525"/>
      <c r="H1010" s="1525"/>
      <c r="I1010" s="1525"/>
      <c r="J1010" s="1525"/>
      <c r="K1010" s="1525"/>
      <c r="L1010" s="1525"/>
      <c r="M1010" s="1525"/>
      <c r="N1010" s="1525"/>
      <c r="O1010" s="1525"/>
      <c r="P1010" s="1525"/>
      <c r="Q1010" s="1525"/>
      <c r="R1010" s="1525"/>
      <c r="S1010" s="1525"/>
      <c r="T1010" s="1525"/>
      <c r="U1010" s="1525"/>
      <c r="V1010" s="1525"/>
      <c r="W1010" s="1525"/>
      <c r="X1010" s="1525"/>
      <c r="Y1010" s="1525"/>
      <c r="Z1010" s="1525"/>
      <c r="AA1010" s="1525"/>
      <c r="AB1010" s="1525"/>
      <c r="AC1010" s="1525"/>
      <c r="AD1010" s="1525"/>
      <c r="AE1010" s="1526"/>
      <c r="AF1010" s="79"/>
      <c r="AG1010" s="1532" t="s">
        <v>675</v>
      </c>
      <c r="AH1010" s="1533"/>
      <c r="AI1010" s="87"/>
      <c r="AJ1010" s="1425">
        <f>ROUND(IF(AG1010="yes",AJ991*0.02,0),0)</f>
        <v>0</v>
      </c>
      <c r="AK1010" s="1426"/>
      <c r="AL1010" s="1426"/>
      <c r="AM1010" s="1426"/>
      <c r="AN1010" s="1426"/>
      <c r="AO1010" s="1426"/>
      <c r="AP1010" s="1426"/>
      <c r="AQ1010" s="1427"/>
      <c r="AR1010" s="68"/>
      <c r="AS1010" s="68"/>
      <c r="AT1010" s="68"/>
      <c r="AU1010" s="68"/>
      <c r="AV1010" s="68"/>
      <c r="AW1010" s="68"/>
      <c r="AX1010" s="68"/>
      <c r="AY1010" s="215">
        <f>IF(SUM(AY1012:AY1020)&lt;=0.1,SUM(AY1012:AY1020),0.1)</f>
        <v>0</v>
      </c>
    </row>
    <row r="1011" spans="1:51" ht="14.25" customHeight="1">
      <c r="A1011" s="14"/>
      <c r="B1011" s="73"/>
      <c r="C1011" s="74"/>
      <c r="D1011" s="1540" t="s">
        <v>1393</v>
      </c>
      <c r="E1011" s="1541"/>
      <c r="F1011" s="1541"/>
      <c r="G1011" s="1541"/>
      <c r="H1011" s="1541"/>
      <c r="I1011" s="1541"/>
      <c r="J1011" s="1541"/>
      <c r="K1011" s="1541"/>
      <c r="L1011" s="1541"/>
      <c r="M1011" s="1541"/>
      <c r="N1011" s="1541"/>
      <c r="O1011" s="1541"/>
      <c r="P1011" s="1541"/>
      <c r="Q1011" s="1541"/>
      <c r="R1011" s="1541"/>
      <c r="S1011" s="1541"/>
      <c r="T1011" s="1541"/>
      <c r="U1011" s="1541"/>
      <c r="V1011" s="1541"/>
      <c r="W1011" s="1541"/>
      <c r="X1011" s="1541"/>
      <c r="Y1011" s="1541"/>
      <c r="Z1011" s="1541"/>
      <c r="AA1011" s="1541"/>
      <c r="AB1011" s="1541"/>
      <c r="AC1011" s="1541"/>
      <c r="AD1011" s="1541"/>
      <c r="AE1011" s="1542"/>
      <c r="AF1011" s="77"/>
      <c r="AG1011" s="7"/>
      <c r="AH1011" s="7"/>
      <c r="AI1011" s="78"/>
      <c r="AJ1011" s="1431"/>
      <c r="AK1011" s="1432"/>
      <c r="AL1011" s="1432"/>
      <c r="AM1011" s="1432"/>
      <c r="AN1011" s="1432"/>
      <c r="AO1011" s="1432"/>
      <c r="AP1011" s="1432"/>
      <c r="AQ1011" s="1433"/>
      <c r="AR1011" s="68"/>
      <c r="AS1011" s="68"/>
      <c r="AT1011" s="68"/>
      <c r="AU1011" s="68"/>
      <c r="AV1011" s="68"/>
      <c r="AW1011" s="68"/>
      <c r="AX1011" s="68"/>
    </row>
    <row r="1012" spans="1:51" ht="12.95" customHeight="1">
      <c r="A1012" s="14"/>
      <c r="B1012" s="79"/>
      <c r="C1012" s="80" t="s">
        <v>215</v>
      </c>
      <c r="D1012" s="1524" t="s">
        <v>1394</v>
      </c>
      <c r="E1012" s="1525"/>
      <c r="F1012" s="1525"/>
      <c r="G1012" s="1525"/>
      <c r="H1012" s="1525"/>
      <c r="I1012" s="1525"/>
      <c r="J1012" s="1525"/>
      <c r="K1012" s="1525"/>
      <c r="L1012" s="1525"/>
      <c r="M1012" s="1525"/>
      <c r="N1012" s="1525"/>
      <c r="O1012" s="1525"/>
      <c r="P1012" s="1525"/>
      <c r="Q1012" s="1525"/>
      <c r="R1012" s="1525"/>
      <c r="S1012" s="1525"/>
      <c r="T1012" s="1525"/>
      <c r="U1012" s="1525"/>
      <c r="V1012" s="1525"/>
      <c r="W1012" s="1525"/>
      <c r="X1012" s="1525"/>
      <c r="Y1012" s="1525"/>
      <c r="Z1012" s="1525"/>
      <c r="AA1012" s="1525"/>
      <c r="AB1012" s="1525"/>
      <c r="AC1012" s="1525"/>
      <c r="AD1012" s="1525"/>
      <c r="AE1012" s="1526"/>
      <c r="AF1012" s="79"/>
      <c r="AG1012" s="1532" t="s">
        <v>675</v>
      </c>
      <c r="AH1012" s="1533"/>
      <c r="AI1012" s="79"/>
      <c r="AJ1012" s="1425">
        <f>ROUND(IF(AG1012="yes",AJ991*0.02,0),0)</f>
        <v>0</v>
      </c>
      <c r="AK1012" s="1426"/>
      <c r="AL1012" s="1426"/>
      <c r="AM1012" s="1426"/>
      <c r="AN1012" s="1426"/>
      <c r="AO1012" s="1426"/>
      <c r="AP1012" s="1426"/>
      <c r="AQ1012" s="1427"/>
      <c r="AR1012" s="68"/>
      <c r="AS1012" s="68"/>
      <c r="AT1012" s="68"/>
      <c r="AU1012" s="68"/>
      <c r="AV1012" s="68"/>
      <c r="AW1012" s="68"/>
      <c r="AX1012" s="68"/>
      <c r="AY1012" s="213">
        <f>IF(A1064="Yes",0.05,0)</f>
        <v>0</v>
      </c>
    </row>
    <row r="1013" spans="1:51" ht="12.95" customHeight="1">
      <c r="A1013" s="14"/>
      <c r="B1013" s="73"/>
      <c r="C1013" s="74"/>
      <c r="D1013" s="1537" t="s">
        <v>1395</v>
      </c>
      <c r="E1013" s="1538"/>
      <c r="F1013" s="1538"/>
      <c r="G1013" s="1538"/>
      <c r="H1013" s="1538"/>
      <c r="I1013" s="1538"/>
      <c r="J1013" s="1538"/>
      <c r="K1013" s="1538"/>
      <c r="L1013" s="1538"/>
      <c r="M1013" s="1538"/>
      <c r="N1013" s="1538"/>
      <c r="O1013" s="1538"/>
      <c r="P1013" s="1538"/>
      <c r="Q1013" s="1538"/>
      <c r="R1013" s="1538"/>
      <c r="S1013" s="1538"/>
      <c r="T1013" s="1538"/>
      <c r="U1013" s="1538"/>
      <c r="V1013" s="1538"/>
      <c r="W1013" s="1538"/>
      <c r="X1013" s="1538"/>
      <c r="Y1013" s="1538"/>
      <c r="Z1013" s="1538"/>
      <c r="AA1013" s="1538"/>
      <c r="AB1013" s="1538"/>
      <c r="AC1013" s="1538"/>
      <c r="AD1013" s="1538"/>
      <c r="AE1013" s="1539"/>
      <c r="AF1013" s="1410" t="str">
        <f>IF(AND(AG1012="yes",AB212&lt;&gt;1),"The project may not be eligible for this boost","")</f>
        <v/>
      </c>
      <c r="AG1013" s="1411"/>
      <c r="AH1013" s="1411"/>
      <c r="AI1013" s="1412"/>
      <c r="AJ1013" s="1428"/>
      <c r="AK1013" s="1429"/>
      <c r="AL1013" s="1429"/>
      <c r="AM1013" s="1429"/>
      <c r="AN1013" s="1429"/>
      <c r="AO1013" s="1429"/>
      <c r="AP1013" s="1429"/>
      <c r="AQ1013" s="1430"/>
      <c r="AR1013" s="68"/>
      <c r="AS1013" s="68"/>
      <c r="AT1013" s="68"/>
      <c r="AU1013" s="68"/>
      <c r="AV1013" s="68"/>
      <c r="AW1013" s="68"/>
      <c r="AX1013" s="68"/>
      <c r="AY1013" s="213">
        <f>IF(A1070="Yes",0.02,0)</f>
        <v>0</v>
      </c>
    </row>
    <row r="1014" spans="1:51" ht="12.95" customHeight="1">
      <c r="A1014" s="14"/>
      <c r="B1014" s="75"/>
      <c r="C1014" s="76"/>
      <c r="D1014" s="1540"/>
      <c r="E1014" s="1541"/>
      <c r="F1014" s="1541"/>
      <c r="G1014" s="1541"/>
      <c r="H1014" s="1541"/>
      <c r="I1014" s="1541"/>
      <c r="J1014" s="1541"/>
      <c r="K1014" s="1541"/>
      <c r="L1014" s="1541"/>
      <c r="M1014" s="1541"/>
      <c r="N1014" s="1541"/>
      <c r="O1014" s="1541"/>
      <c r="P1014" s="1541"/>
      <c r="Q1014" s="1541"/>
      <c r="R1014" s="1541"/>
      <c r="S1014" s="1541"/>
      <c r="T1014" s="1541"/>
      <c r="U1014" s="1541"/>
      <c r="V1014" s="1541"/>
      <c r="W1014" s="1541"/>
      <c r="X1014" s="1541"/>
      <c r="Y1014" s="1541"/>
      <c r="Z1014" s="1541"/>
      <c r="AA1014" s="1541"/>
      <c r="AB1014" s="1541"/>
      <c r="AC1014" s="1541"/>
      <c r="AD1014" s="1541"/>
      <c r="AE1014" s="1542"/>
      <c r="AF1014" s="1413"/>
      <c r="AG1014" s="1414"/>
      <c r="AH1014" s="1414"/>
      <c r="AI1014" s="1415"/>
      <c r="AJ1014" s="1431"/>
      <c r="AK1014" s="1432"/>
      <c r="AL1014" s="1432"/>
      <c r="AM1014" s="1432"/>
      <c r="AN1014" s="1432"/>
      <c r="AO1014" s="1432"/>
      <c r="AP1014" s="1432"/>
      <c r="AQ1014" s="1433"/>
      <c r="AR1014" s="68"/>
      <c r="AS1014" s="68"/>
      <c r="AT1014" s="68"/>
      <c r="AU1014" s="68"/>
      <c r="AV1014" s="68"/>
      <c r="AW1014" s="68"/>
      <c r="AX1014" s="68"/>
      <c r="AY1014" s="213">
        <f>IF(A1076="Yes",0.04,0)</f>
        <v>0</v>
      </c>
    </row>
    <row r="1015" spans="1:51" ht="12.95" customHeight="1">
      <c r="A1015" s="14"/>
      <c r="B1015" s="79"/>
      <c r="C1015" s="80" t="s">
        <v>218</v>
      </c>
      <c r="D1015" s="1534" t="s">
        <v>1396</v>
      </c>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1532" t="s">
        <v>675</v>
      </c>
      <c r="AH1015" s="1533"/>
      <c r="AI1015" s="87"/>
      <c r="AJ1015" s="1425">
        <f>IF(AG1015="yes",AJ991*AY1010,0)</f>
        <v>0</v>
      </c>
      <c r="AK1015" s="1426"/>
      <c r="AL1015" s="1426"/>
      <c r="AM1015" s="1426"/>
      <c r="AN1015" s="1426"/>
      <c r="AO1015" s="1426"/>
      <c r="AP1015" s="1426"/>
      <c r="AQ1015" s="1427"/>
      <c r="AR1015" s="68"/>
      <c r="AS1015" s="68"/>
      <c r="AT1015" s="68"/>
      <c r="AU1015" s="68"/>
      <c r="AV1015" s="68"/>
      <c r="AW1015" s="68"/>
      <c r="AX1015" s="68"/>
      <c r="AY1015" s="213">
        <f>IF(A1083="Yes",0.04,0)</f>
        <v>0</v>
      </c>
    </row>
    <row r="1016" spans="1:51" ht="12.95" customHeight="1">
      <c r="A1016" s="14"/>
      <c r="B1016" s="73"/>
      <c r="C1016" s="74"/>
      <c r="D1016" s="1537" t="s">
        <v>1397</v>
      </c>
      <c r="E1016" s="1538"/>
      <c r="F1016" s="1538"/>
      <c r="G1016" s="1538"/>
      <c r="H1016" s="1538"/>
      <c r="I1016" s="1538"/>
      <c r="J1016" s="1538"/>
      <c r="K1016" s="1538"/>
      <c r="L1016" s="1538"/>
      <c r="M1016" s="1538"/>
      <c r="N1016" s="1538"/>
      <c r="O1016" s="1538"/>
      <c r="P1016" s="1538"/>
      <c r="Q1016" s="1538"/>
      <c r="R1016" s="1538"/>
      <c r="S1016" s="1538"/>
      <c r="T1016" s="1538"/>
      <c r="U1016" s="1538"/>
      <c r="V1016" s="1538"/>
      <c r="W1016" s="1538"/>
      <c r="X1016" s="1538"/>
      <c r="Y1016" s="1538"/>
      <c r="Z1016" s="1538"/>
      <c r="AA1016" s="1538"/>
      <c r="AB1016" s="1538"/>
      <c r="AC1016" s="1538"/>
      <c r="AD1016" s="1538"/>
      <c r="AE1016" s="1539"/>
      <c r="AF1016" s="1404" t="str">
        <f>IF(AND(AG1015="Yes",AY1010=0),AY1022,"")</f>
        <v/>
      </c>
      <c r="AG1016" s="1405"/>
      <c r="AH1016" s="1405"/>
      <c r="AI1016" s="1406"/>
      <c r="AJ1016" s="1428"/>
      <c r="AK1016" s="1429"/>
      <c r="AL1016" s="1429"/>
      <c r="AM1016" s="1429"/>
      <c r="AN1016" s="1429"/>
      <c r="AO1016" s="1429"/>
      <c r="AP1016" s="1429"/>
      <c r="AQ1016" s="1430"/>
      <c r="AR1016" s="68"/>
      <c r="AS1016" s="68"/>
      <c r="AT1016" s="68"/>
      <c r="AU1016" s="68"/>
      <c r="AV1016" s="68"/>
      <c r="AW1016" s="68"/>
      <c r="AX1016" s="68"/>
      <c r="AY1016" s="213">
        <f>IF(A1086="Yes",0.01,0)</f>
        <v>0</v>
      </c>
    </row>
    <row r="1017" spans="1:51" ht="12.95" customHeight="1">
      <c r="A1017" s="14"/>
      <c r="B1017" s="73"/>
      <c r="C1017" s="74"/>
      <c r="D1017" s="1537"/>
      <c r="E1017" s="1538"/>
      <c r="F1017" s="1538"/>
      <c r="G1017" s="1538"/>
      <c r="H1017" s="1538"/>
      <c r="I1017" s="1538"/>
      <c r="J1017" s="1538"/>
      <c r="K1017" s="1538"/>
      <c r="L1017" s="1538"/>
      <c r="M1017" s="1538"/>
      <c r="N1017" s="1538"/>
      <c r="O1017" s="1538"/>
      <c r="P1017" s="1538"/>
      <c r="Q1017" s="1538"/>
      <c r="R1017" s="1538"/>
      <c r="S1017" s="1538"/>
      <c r="T1017" s="1538"/>
      <c r="U1017" s="1538"/>
      <c r="V1017" s="1538"/>
      <c r="W1017" s="1538"/>
      <c r="X1017" s="1538"/>
      <c r="Y1017" s="1538"/>
      <c r="Z1017" s="1538"/>
      <c r="AA1017" s="1538"/>
      <c r="AB1017" s="1538"/>
      <c r="AC1017" s="1538"/>
      <c r="AD1017" s="1538"/>
      <c r="AE1017" s="1539"/>
      <c r="AF1017" s="1404"/>
      <c r="AG1017" s="1405"/>
      <c r="AH1017" s="1405"/>
      <c r="AI1017" s="1406"/>
      <c r="AJ1017" s="1428"/>
      <c r="AK1017" s="1429"/>
      <c r="AL1017" s="1429"/>
      <c r="AM1017" s="1429"/>
      <c r="AN1017" s="1429"/>
      <c r="AO1017" s="1429"/>
      <c r="AP1017" s="1429"/>
      <c r="AQ1017" s="1430"/>
      <c r="AR1017" s="68"/>
      <c r="AS1017" s="68"/>
      <c r="AT1017" s="68"/>
      <c r="AU1017" s="68"/>
      <c r="AV1017" s="68"/>
      <c r="AW1017" s="68"/>
      <c r="AX1017" s="68"/>
      <c r="AY1017" s="213">
        <f>IF(A1091="Yes",0.01,0)</f>
        <v>0</v>
      </c>
    </row>
    <row r="1018" spans="1:51" ht="12.95" customHeight="1">
      <c r="A1018" s="14"/>
      <c r="B1018" s="81"/>
      <c r="C1018" s="82"/>
      <c r="D1018" s="1540"/>
      <c r="E1018" s="1541"/>
      <c r="F1018" s="1541"/>
      <c r="G1018" s="1541"/>
      <c r="H1018" s="1541"/>
      <c r="I1018" s="1541"/>
      <c r="J1018" s="1541"/>
      <c r="K1018" s="1541"/>
      <c r="L1018" s="1541"/>
      <c r="M1018" s="1541"/>
      <c r="N1018" s="1541"/>
      <c r="O1018" s="1541"/>
      <c r="P1018" s="1541"/>
      <c r="Q1018" s="1541"/>
      <c r="R1018" s="1541"/>
      <c r="S1018" s="1541"/>
      <c r="T1018" s="1541"/>
      <c r="U1018" s="1541"/>
      <c r="V1018" s="1541"/>
      <c r="W1018" s="1541"/>
      <c r="X1018" s="1541"/>
      <c r="Y1018" s="1541"/>
      <c r="Z1018" s="1541"/>
      <c r="AA1018" s="1541"/>
      <c r="AB1018" s="1541"/>
      <c r="AC1018" s="1541"/>
      <c r="AD1018" s="1541"/>
      <c r="AE1018" s="1542"/>
      <c r="AF1018" s="1407"/>
      <c r="AG1018" s="1408"/>
      <c r="AH1018" s="1408"/>
      <c r="AI1018" s="1409"/>
      <c r="AJ1018" s="1431"/>
      <c r="AK1018" s="1432"/>
      <c r="AL1018" s="1432"/>
      <c r="AM1018" s="1432"/>
      <c r="AN1018" s="1432"/>
      <c r="AO1018" s="1432"/>
      <c r="AP1018" s="1432"/>
      <c r="AQ1018" s="1433"/>
      <c r="AR1018" s="68"/>
      <c r="AS1018" s="68"/>
      <c r="AT1018" s="68"/>
      <c r="AU1018" s="68"/>
      <c r="AV1018" s="68"/>
      <c r="AW1018" s="68"/>
      <c r="AX1018" s="68"/>
      <c r="AY1018" s="213">
        <f>IF(A1094="Yes",0.01,0)</f>
        <v>0</v>
      </c>
    </row>
    <row r="1019" spans="1:51" ht="12.95" customHeight="1">
      <c r="A1019" s="14"/>
      <c r="B1019" s="79"/>
      <c r="C1019" s="80" t="s">
        <v>223</v>
      </c>
      <c r="D1019" s="1568" t="s">
        <v>1398</v>
      </c>
      <c r="E1019" s="1569"/>
      <c r="F1019" s="1569"/>
      <c r="G1019" s="1569"/>
      <c r="H1019" s="1569"/>
      <c r="I1019" s="1569"/>
      <c r="J1019" s="1569"/>
      <c r="K1019" s="1569"/>
      <c r="L1019" s="1569"/>
      <c r="M1019" s="1569"/>
      <c r="N1019" s="1569"/>
      <c r="O1019" s="1569"/>
      <c r="P1019" s="1569"/>
      <c r="Q1019" s="1569"/>
      <c r="R1019" s="1569"/>
      <c r="S1019" s="1569"/>
      <c r="T1019" s="1569"/>
      <c r="U1019" s="1569"/>
      <c r="V1019" s="1569"/>
      <c r="W1019" s="1569"/>
      <c r="X1019" s="1569"/>
      <c r="Y1019" s="1569"/>
      <c r="Z1019" s="1569"/>
      <c r="AA1019" s="1569"/>
      <c r="AB1019" s="1569"/>
      <c r="AC1019" s="1569"/>
      <c r="AD1019" s="1569"/>
      <c r="AE1019" s="1570"/>
      <c r="AF1019" s="79"/>
      <c r="AG1019" s="1532" t="s">
        <v>675</v>
      </c>
      <c r="AH1019" s="1533"/>
      <c r="AI1019" s="87"/>
      <c r="AJ1019" s="1425">
        <f>ROUND(IF(AND(AG1019="Yes",J1023&lt;&gt;"N/A",AF1022&lt;&gt;""),MIN(AF1022,(0.15*AJ991)),0),0)</f>
        <v>0</v>
      </c>
      <c r="AK1019" s="1426"/>
      <c r="AL1019" s="1426"/>
      <c r="AM1019" s="1426"/>
      <c r="AN1019" s="1426"/>
      <c r="AO1019" s="1426"/>
      <c r="AP1019" s="1426"/>
      <c r="AQ1019" s="1427"/>
      <c r="AR1019" s="68"/>
      <c r="AS1019" s="68"/>
      <c r="AT1019" s="68"/>
      <c r="AU1019" s="68"/>
      <c r="AV1019" s="68"/>
      <c r="AW1019" s="68"/>
      <c r="AX1019" s="68"/>
      <c r="AY1019" s="213">
        <f>IF(A1098="Yes",0.02,0)</f>
        <v>0</v>
      </c>
    </row>
    <row r="1020" spans="1:51" ht="12.95" customHeight="1">
      <c r="A1020" s="14"/>
      <c r="B1020" s="81"/>
      <c r="C1020" s="84"/>
      <c r="D1020" s="1571"/>
      <c r="E1020" s="1572"/>
      <c r="F1020" s="1572"/>
      <c r="G1020" s="1572"/>
      <c r="H1020" s="1572"/>
      <c r="I1020" s="1572"/>
      <c r="J1020" s="1572"/>
      <c r="K1020" s="1572"/>
      <c r="L1020" s="1572"/>
      <c r="M1020" s="1572"/>
      <c r="N1020" s="1572"/>
      <c r="O1020" s="1572"/>
      <c r="P1020" s="1572"/>
      <c r="Q1020" s="1572"/>
      <c r="R1020" s="1572"/>
      <c r="S1020" s="1572"/>
      <c r="T1020" s="1572"/>
      <c r="U1020" s="1572"/>
      <c r="V1020" s="1572"/>
      <c r="W1020" s="1572"/>
      <c r="X1020" s="1572"/>
      <c r="Y1020" s="1572"/>
      <c r="Z1020" s="1572"/>
      <c r="AA1020" s="1572"/>
      <c r="AB1020" s="1572"/>
      <c r="AC1020" s="1572"/>
      <c r="AD1020" s="1572"/>
      <c r="AE1020" s="1573"/>
      <c r="AF1020" s="1543" t="str">
        <f>IF(AG1019="yes","Please Select Type and Enter Amount:","")</f>
        <v/>
      </c>
      <c r="AG1020" s="1544"/>
      <c r="AH1020" s="1544"/>
      <c r="AI1020" s="1545"/>
      <c r="AJ1020" s="1428"/>
      <c r="AK1020" s="1429"/>
      <c r="AL1020" s="1429"/>
      <c r="AM1020" s="1429"/>
      <c r="AN1020" s="1429"/>
      <c r="AO1020" s="1429"/>
      <c r="AP1020" s="1429"/>
      <c r="AQ1020" s="1430"/>
      <c r="AR1020" s="68"/>
      <c r="AS1020" s="68"/>
      <c r="AT1020" s="68"/>
      <c r="AU1020" s="68"/>
      <c r="AV1020" s="68"/>
      <c r="AW1020" s="68"/>
      <c r="AX1020" s="68"/>
      <c r="AY1020" s="214">
        <f>IF(A1103="Yes",0.02,0)</f>
        <v>0</v>
      </c>
    </row>
    <row r="1021" spans="1:51" ht="12.95" customHeight="1">
      <c r="A1021" s="14"/>
      <c r="B1021" s="81"/>
      <c r="C1021" s="84"/>
      <c r="D1021" s="1537" t="s">
        <v>1399</v>
      </c>
      <c r="E1021" s="1538"/>
      <c r="F1021" s="1538"/>
      <c r="G1021" s="1538"/>
      <c r="H1021" s="1538"/>
      <c r="I1021" s="1538"/>
      <c r="J1021" s="1538"/>
      <c r="K1021" s="1538"/>
      <c r="L1021" s="1538"/>
      <c r="M1021" s="1538"/>
      <c r="N1021" s="1538"/>
      <c r="O1021" s="1538"/>
      <c r="P1021" s="1538"/>
      <c r="Q1021" s="1538"/>
      <c r="R1021" s="1538"/>
      <c r="S1021" s="1538"/>
      <c r="T1021" s="1538"/>
      <c r="U1021" s="1538"/>
      <c r="V1021" s="1538"/>
      <c r="W1021" s="1538"/>
      <c r="X1021" s="1538"/>
      <c r="Y1021" s="1538"/>
      <c r="Z1021" s="1538"/>
      <c r="AA1021" s="1538"/>
      <c r="AB1021" s="1538"/>
      <c r="AC1021" s="1538"/>
      <c r="AD1021" s="1538"/>
      <c r="AE1021" s="1539"/>
      <c r="AF1021" s="1543"/>
      <c r="AG1021" s="1544"/>
      <c r="AH1021" s="1544"/>
      <c r="AI1021" s="1545"/>
      <c r="AJ1021" s="1428"/>
      <c r="AK1021" s="1429"/>
      <c r="AL1021" s="1429"/>
      <c r="AM1021" s="1429"/>
      <c r="AN1021" s="1429"/>
      <c r="AO1021" s="1429"/>
      <c r="AP1021" s="1429"/>
      <c r="AQ1021" s="1430"/>
      <c r="AR1021" s="68"/>
      <c r="AS1021" s="68"/>
      <c r="AT1021" s="68"/>
      <c r="AU1021" s="68"/>
      <c r="AV1021" s="68"/>
      <c r="AW1021" s="68"/>
      <c r="AX1021" s="68"/>
      <c r="AY1021" s="68"/>
    </row>
    <row r="1022" spans="1:51" ht="12.95" customHeight="1">
      <c r="A1022" s="14"/>
      <c r="B1022" s="81"/>
      <c r="C1022" s="84"/>
      <c r="D1022" s="1537"/>
      <c r="E1022" s="1538"/>
      <c r="F1022" s="1538"/>
      <c r="G1022" s="1538"/>
      <c r="H1022" s="1538"/>
      <c r="I1022" s="1538"/>
      <c r="J1022" s="1538"/>
      <c r="K1022" s="1538"/>
      <c r="L1022" s="1538"/>
      <c r="M1022" s="1538"/>
      <c r="N1022" s="1538"/>
      <c r="O1022" s="1538"/>
      <c r="P1022" s="1538"/>
      <c r="Q1022" s="1538"/>
      <c r="R1022" s="1538"/>
      <c r="S1022" s="1538"/>
      <c r="T1022" s="1538"/>
      <c r="U1022" s="1538"/>
      <c r="V1022" s="1538"/>
      <c r="W1022" s="1538"/>
      <c r="X1022" s="1538"/>
      <c r="Y1022" s="1538"/>
      <c r="Z1022" s="1538"/>
      <c r="AA1022" s="1538"/>
      <c r="AB1022" s="1538"/>
      <c r="AC1022" s="1538"/>
      <c r="AD1022" s="1538"/>
      <c r="AE1022" s="1539"/>
      <c r="AF1022" s="1546"/>
      <c r="AG1022" s="1546"/>
      <c r="AH1022" s="1546"/>
      <c r="AI1022" s="1546"/>
      <c r="AJ1022" s="1428"/>
      <c r="AK1022" s="1429"/>
      <c r="AL1022" s="1429"/>
      <c r="AM1022" s="1429"/>
      <c r="AN1022" s="1429"/>
      <c r="AO1022" s="1429"/>
      <c r="AP1022" s="1429"/>
      <c r="AQ1022" s="143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80" t="s">
        <v>598</v>
      </c>
      <c r="K1023" s="1581"/>
      <c r="L1023" s="1581"/>
      <c r="M1023" s="1581"/>
      <c r="N1023" s="1581"/>
      <c r="O1023" s="1581"/>
      <c r="P1023" s="1581"/>
      <c r="Q1023" s="1581"/>
      <c r="R1023" s="1581"/>
      <c r="S1023" s="1581"/>
      <c r="T1023" s="1581"/>
      <c r="U1023" s="1581"/>
      <c r="V1023" s="1581"/>
      <c r="W1023" s="1581"/>
      <c r="X1023" s="1581"/>
      <c r="Y1023" s="1581"/>
      <c r="Z1023" s="1581"/>
      <c r="AA1023" s="1581"/>
      <c r="AB1023" s="1581"/>
      <c r="AC1023" s="1581"/>
      <c r="AD1023" s="1581"/>
      <c r="AE1023" s="1582"/>
      <c r="AF1023" s="1546"/>
      <c r="AG1023" s="1546"/>
      <c r="AH1023" s="1546"/>
      <c r="AI1023" s="1546"/>
      <c r="AJ1023" s="1431"/>
      <c r="AK1023" s="1432"/>
      <c r="AL1023" s="1432"/>
      <c r="AM1023" s="1432"/>
      <c r="AN1023" s="1432"/>
      <c r="AO1023" s="1432"/>
      <c r="AP1023" s="1432"/>
      <c r="AQ1023" s="1433"/>
      <c r="AR1023" s="68"/>
      <c r="AS1023" s="68"/>
      <c r="AT1023" s="68"/>
      <c r="AU1023" s="68"/>
      <c r="AV1023" s="68"/>
      <c r="AW1023" s="68"/>
      <c r="AX1023" s="68"/>
      <c r="AY1023" s="68"/>
    </row>
    <row r="1024" spans="1:51" ht="12.95" customHeight="1">
      <c r="A1024" s="14"/>
      <c r="B1024" s="79"/>
      <c r="C1024" s="80" t="s">
        <v>229</v>
      </c>
      <c r="D1024" s="1524" t="s">
        <v>1400</v>
      </c>
      <c r="E1024" s="1525"/>
      <c r="F1024" s="1525"/>
      <c r="G1024" s="1525"/>
      <c r="H1024" s="1525"/>
      <c r="I1024" s="1525"/>
      <c r="J1024" s="1525"/>
      <c r="K1024" s="1525"/>
      <c r="L1024" s="1525"/>
      <c r="M1024" s="1525"/>
      <c r="N1024" s="1525"/>
      <c r="O1024" s="1525"/>
      <c r="P1024" s="1525"/>
      <c r="Q1024" s="1525"/>
      <c r="R1024" s="1525"/>
      <c r="S1024" s="1525"/>
      <c r="T1024" s="1525"/>
      <c r="U1024" s="1525"/>
      <c r="V1024" s="1525"/>
      <c r="W1024" s="1525"/>
      <c r="X1024" s="1525"/>
      <c r="Y1024" s="1525"/>
      <c r="Z1024" s="1525"/>
      <c r="AA1024" s="1525"/>
      <c r="AB1024" s="1525"/>
      <c r="AC1024" s="1525"/>
      <c r="AD1024" s="1525"/>
      <c r="AE1024" s="1526"/>
      <c r="AF1024" s="79"/>
      <c r="AG1024" s="1532" t="s">
        <v>552</v>
      </c>
      <c r="AH1024" s="1533"/>
      <c r="AI1024" s="87"/>
      <c r="AJ1024" s="1425">
        <f>ROUND(IF(AG1024="Yes",AF1026,0),0)</f>
        <v>18666685</v>
      </c>
      <c r="AK1024" s="1426"/>
      <c r="AL1024" s="1426"/>
      <c r="AM1024" s="1426"/>
      <c r="AN1024" s="1426"/>
      <c r="AO1024" s="1426"/>
      <c r="AP1024" s="1426"/>
      <c r="AQ1024" s="1427"/>
      <c r="AR1024" s="68"/>
      <c r="AS1024" s="68"/>
      <c r="AT1024" s="68"/>
      <c r="AU1024" s="68"/>
      <c r="AV1024" s="68"/>
      <c r="AW1024" s="68"/>
      <c r="AX1024" s="68"/>
      <c r="AY1024" s="68"/>
    </row>
    <row r="1025" spans="1:51" ht="12.95" customHeight="1">
      <c r="A1025" s="14"/>
      <c r="B1025" s="73"/>
      <c r="C1025" s="74"/>
      <c r="D1025" s="1537" t="s">
        <v>1875</v>
      </c>
      <c r="E1025" s="1538"/>
      <c r="F1025" s="1538"/>
      <c r="G1025" s="1538"/>
      <c r="H1025" s="1538"/>
      <c r="I1025" s="1538"/>
      <c r="J1025" s="1538"/>
      <c r="K1025" s="1538"/>
      <c r="L1025" s="1538"/>
      <c r="M1025" s="1538"/>
      <c r="N1025" s="1538"/>
      <c r="O1025" s="1538"/>
      <c r="P1025" s="1538"/>
      <c r="Q1025" s="1538"/>
      <c r="R1025" s="1538"/>
      <c r="S1025" s="1538"/>
      <c r="T1025" s="1538"/>
      <c r="U1025" s="1538"/>
      <c r="V1025" s="1538"/>
      <c r="W1025" s="1538"/>
      <c r="X1025" s="1538"/>
      <c r="Y1025" s="1538"/>
      <c r="Z1025" s="1538"/>
      <c r="AA1025" s="1538"/>
      <c r="AB1025" s="1538"/>
      <c r="AC1025" s="1538"/>
      <c r="AD1025" s="1538"/>
      <c r="AE1025" s="1539"/>
      <c r="AF1025" s="1574" t="str">
        <f>IF(AG1024="yes","Enter Amount:","")</f>
        <v>Enter Amount:</v>
      </c>
      <c r="AG1025" s="1575"/>
      <c r="AH1025" s="1575"/>
      <c r="AI1025" s="1576"/>
      <c r="AJ1025" s="1428"/>
      <c r="AK1025" s="1429"/>
      <c r="AL1025" s="1429"/>
      <c r="AM1025" s="1429"/>
      <c r="AN1025" s="1429"/>
      <c r="AO1025" s="1429"/>
      <c r="AP1025" s="1429"/>
      <c r="AQ1025" s="1430"/>
      <c r="AR1025" s="68"/>
      <c r="AS1025" s="68"/>
      <c r="AT1025" s="68"/>
      <c r="AU1025" s="68"/>
      <c r="AV1025" s="68"/>
      <c r="AW1025" s="68"/>
      <c r="AX1025" s="68"/>
      <c r="AY1025" s="68"/>
    </row>
    <row r="1026" spans="1:51" ht="12.95" customHeight="1">
      <c r="A1026" s="14"/>
      <c r="B1026" s="73"/>
      <c r="C1026" s="74"/>
      <c r="D1026" s="1537"/>
      <c r="E1026" s="1538"/>
      <c r="F1026" s="1538"/>
      <c r="G1026" s="1538"/>
      <c r="H1026" s="1538"/>
      <c r="I1026" s="1538"/>
      <c r="J1026" s="1538"/>
      <c r="K1026" s="1538"/>
      <c r="L1026" s="1538"/>
      <c r="M1026" s="1538"/>
      <c r="N1026" s="1538"/>
      <c r="O1026" s="1538"/>
      <c r="P1026" s="1538"/>
      <c r="Q1026" s="1538"/>
      <c r="R1026" s="1538"/>
      <c r="S1026" s="1538"/>
      <c r="T1026" s="1538"/>
      <c r="U1026" s="1538"/>
      <c r="V1026" s="1538"/>
      <c r="W1026" s="1538"/>
      <c r="X1026" s="1538"/>
      <c r="Y1026" s="1538"/>
      <c r="Z1026" s="1538"/>
      <c r="AA1026" s="1538"/>
      <c r="AB1026" s="1538"/>
      <c r="AC1026" s="1538"/>
      <c r="AD1026" s="1538"/>
      <c r="AE1026" s="1539"/>
      <c r="AF1026" s="1546">
        <v>18666685</v>
      </c>
      <c r="AG1026" s="1546"/>
      <c r="AH1026" s="1546"/>
      <c r="AI1026" s="1546"/>
      <c r="AJ1026" s="1428"/>
      <c r="AK1026" s="1429"/>
      <c r="AL1026" s="1429"/>
      <c r="AM1026" s="1429"/>
      <c r="AN1026" s="1429"/>
      <c r="AO1026" s="1429"/>
      <c r="AP1026" s="1429"/>
      <c r="AQ1026" s="1430"/>
      <c r="AR1026" s="68"/>
      <c r="AS1026" s="68"/>
      <c r="AT1026" s="68"/>
      <c r="AU1026" s="68"/>
      <c r="AV1026" s="68"/>
      <c r="AW1026" s="68"/>
      <c r="AX1026" s="68"/>
      <c r="AY1026" s="68"/>
    </row>
    <row r="1027" spans="1:51" ht="12.95" customHeight="1">
      <c r="A1027" s="14"/>
      <c r="B1027" s="85"/>
      <c r="C1027" s="84"/>
      <c r="D1027" s="1540"/>
      <c r="E1027" s="1541"/>
      <c r="F1027" s="1541"/>
      <c r="G1027" s="1541"/>
      <c r="H1027" s="1541"/>
      <c r="I1027" s="1541"/>
      <c r="J1027" s="1541"/>
      <c r="K1027" s="1541"/>
      <c r="L1027" s="1541"/>
      <c r="M1027" s="1541"/>
      <c r="N1027" s="1541"/>
      <c r="O1027" s="1541"/>
      <c r="P1027" s="1541"/>
      <c r="Q1027" s="1541"/>
      <c r="R1027" s="1541"/>
      <c r="S1027" s="1541"/>
      <c r="T1027" s="1541"/>
      <c r="U1027" s="1541"/>
      <c r="V1027" s="1541"/>
      <c r="W1027" s="1541"/>
      <c r="X1027" s="1541"/>
      <c r="Y1027" s="1541"/>
      <c r="Z1027" s="1541"/>
      <c r="AA1027" s="1541"/>
      <c r="AB1027" s="1541"/>
      <c r="AC1027" s="1541"/>
      <c r="AD1027" s="1541"/>
      <c r="AE1027" s="1542"/>
      <c r="AF1027" s="1546"/>
      <c r="AG1027" s="1546"/>
      <c r="AH1027" s="1546"/>
      <c r="AI1027" s="1546"/>
      <c r="AJ1027" s="1431"/>
      <c r="AK1027" s="1432"/>
      <c r="AL1027" s="1432"/>
      <c r="AM1027" s="1432"/>
      <c r="AN1027" s="1432"/>
      <c r="AO1027" s="1432"/>
      <c r="AP1027" s="1432"/>
      <c r="AQ1027" s="1433"/>
      <c r="AR1027" s="68"/>
      <c r="AS1027" s="68"/>
      <c r="AT1027" s="68"/>
      <c r="AU1027" s="68"/>
      <c r="AV1027" s="68"/>
      <c r="AW1027" s="68"/>
      <c r="AX1027" s="68"/>
      <c r="AY1027" s="68"/>
    </row>
    <row r="1028" spans="1:51" ht="12.95" customHeight="1">
      <c r="A1028" s="14"/>
      <c r="B1028" s="79"/>
      <c r="C1028" s="80" t="s">
        <v>234</v>
      </c>
      <c r="D1028" s="1534" t="s">
        <v>1401</v>
      </c>
      <c r="E1028" s="1535"/>
      <c r="F1028" s="1535"/>
      <c r="G1028" s="1535"/>
      <c r="H1028" s="1535"/>
      <c r="I1028" s="1535"/>
      <c r="J1028" s="1535"/>
      <c r="K1028" s="1535"/>
      <c r="L1028" s="1535"/>
      <c r="M1028" s="1535"/>
      <c r="N1028" s="1535"/>
      <c r="O1028" s="1535"/>
      <c r="P1028" s="1535"/>
      <c r="Q1028" s="1535"/>
      <c r="R1028" s="1535"/>
      <c r="S1028" s="1535"/>
      <c r="T1028" s="1535"/>
      <c r="U1028" s="1535"/>
      <c r="V1028" s="1535"/>
      <c r="W1028" s="1535"/>
      <c r="X1028" s="1535"/>
      <c r="Y1028" s="1535"/>
      <c r="Z1028" s="1535"/>
      <c r="AA1028" s="1535"/>
      <c r="AB1028" s="1535"/>
      <c r="AC1028" s="1535"/>
      <c r="AD1028" s="1535"/>
      <c r="AE1028" s="1536"/>
      <c r="AF1028" s="79"/>
      <c r="AG1028" s="1532" t="s">
        <v>552</v>
      </c>
      <c r="AH1028" s="1533"/>
      <c r="AI1028" s="87"/>
      <c r="AJ1028" s="1425">
        <f>ROUND(IF(AG1028="yes",(AJ991*0.1),0),0)</f>
        <v>26402122</v>
      </c>
      <c r="AK1028" s="1426"/>
      <c r="AL1028" s="1426"/>
      <c r="AM1028" s="1426"/>
      <c r="AN1028" s="1426"/>
      <c r="AO1028" s="1426"/>
      <c r="AP1028" s="1426"/>
      <c r="AQ1028" s="1427"/>
      <c r="AR1028" s="68"/>
      <c r="AS1028" s="68"/>
      <c r="AT1028" s="68"/>
      <c r="AU1028" s="68"/>
      <c r="AV1028" s="68"/>
      <c r="AW1028" s="68"/>
      <c r="AX1028" s="68"/>
      <c r="AY1028" s="68"/>
    </row>
    <row r="1029" spans="1:51" ht="12.95" customHeight="1">
      <c r="A1029" s="14"/>
      <c r="B1029" s="73"/>
      <c r="C1029" s="74"/>
      <c r="D1029" s="1537" t="s">
        <v>1402</v>
      </c>
      <c r="E1029" s="1538"/>
      <c r="F1029" s="1538"/>
      <c r="G1029" s="1538"/>
      <c r="H1029" s="1538"/>
      <c r="I1029" s="1538"/>
      <c r="J1029" s="1538"/>
      <c r="K1029" s="1538"/>
      <c r="L1029" s="1538"/>
      <c r="M1029" s="1538"/>
      <c r="N1029" s="1538"/>
      <c r="O1029" s="1538"/>
      <c r="P1029" s="1538"/>
      <c r="Q1029" s="1538"/>
      <c r="R1029" s="1538"/>
      <c r="S1029" s="1538"/>
      <c r="T1029" s="1538"/>
      <c r="U1029" s="1538"/>
      <c r="V1029" s="1538"/>
      <c r="W1029" s="1538"/>
      <c r="X1029" s="1538"/>
      <c r="Y1029" s="1538"/>
      <c r="Z1029" s="1538"/>
      <c r="AA1029" s="1538"/>
      <c r="AB1029" s="1538"/>
      <c r="AC1029" s="1538"/>
      <c r="AD1029" s="1538"/>
      <c r="AE1029" s="1539"/>
      <c r="AF1029" s="73"/>
      <c r="AG1029" s="14"/>
      <c r="AH1029" s="14"/>
      <c r="AI1029" s="83"/>
      <c r="AJ1029" s="1428"/>
      <c r="AK1029" s="1429"/>
      <c r="AL1029" s="1429"/>
      <c r="AM1029" s="1429"/>
      <c r="AN1029" s="1429"/>
      <c r="AO1029" s="1429"/>
      <c r="AP1029" s="1429"/>
      <c r="AQ1029" s="1430"/>
      <c r="AR1029" s="68"/>
      <c r="AS1029" s="68"/>
      <c r="AT1029" s="68"/>
      <c r="AU1029" s="68"/>
      <c r="AV1029" s="68"/>
      <c r="AW1029" s="68"/>
      <c r="AX1029" s="68"/>
      <c r="AY1029" s="68"/>
    </row>
    <row r="1030" spans="1:51" ht="12.95" customHeight="1">
      <c r="A1030" s="14"/>
      <c r="B1030" s="77"/>
      <c r="C1030" s="74"/>
      <c r="D1030" s="1540"/>
      <c r="E1030" s="1541"/>
      <c r="F1030" s="1541"/>
      <c r="G1030" s="1541"/>
      <c r="H1030" s="1541"/>
      <c r="I1030" s="1541"/>
      <c r="J1030" s="1541"/>
      <c r="K1030" s="1541"/>
      <c r="L1030" s="1541"/>
      <c r="M1030" s="1541"/>
      <c r="N1030" s="1541"/>
      <c r="O1030" s="1541"/>
      <c r="P1030" s="1541"/>
      <c r="Q1030" s="1541"/>
      <c r="R1030" s="1541"/>
      <c r="S1030" s="1541"/>
      <c r="T1030" s="1541"/>
      <c r="U1030" s="1541"/>
      <c r="V1030" s="1541"/>
      <c r="W1030" s="1541"/>
      <c r="X1030" s="1541"/>
      <c r="Y1030" s="1541"/>
      <c r="Z1030" s="1541"/>
      <c r="AA1030" s="1541"/>
      <c r="AB1030" s="1541"/>
      <c r="AC1030" s="1541"/>
      <c r="AD1030" s="1541"/>
      <c r="AE1030" s="1542"/>
      <c r="AF1030" s="73"/>
      <c r="AG1030" s="14"/>
      <c r="AH1030" s="14"/>
      <c r="AI1030" s="83"/>
      <c r="AJ1030" s="1431"/>
      <c r="AK1030" s="1432"/>
      <c r="AL1030" s="1432"/>
      <c r="AM1030" s="1432"/>
      <c r="AN1030" s="1432"/>
      <c r="AO1030" s="1432"/>
      <c r="AP1030" s="1432"/>
      <c r="AQ1030" s="1433"/>
      <c r="AR1030" s="68"/>
      <c r="AS1030" s="68"/>
      <c r="AT1030" s="68"/>
      <c r="AU1030" s="68"/>
      <c r="AV1030" s="68"/>
      <c r="AW1030" s="68"/>
      <c r="AX1030" s="68"/>
      <c r="AY1030" s="68"/>
    </row>
    <row r="1031" spans="1:51" ht="12.95" customHeight="1">
      <c r="A1031" s="14"/>
      <c r="B1031" s="73"/>
      <c r="C1031" s="367" t="s">
        <v>694</v>
      </c>
      <c r="D1031" s="1524" t="s">
        <v>1871</v>
      </c>
      <c r="E1031" s="1525"/>
      <c r="F1031" s="1525"/>
      <c r="G1031" s="1525"/>
      <c r="H1031" s="1525"/>
      <c r="I1031" s="1525"/>
      <c r="J1031" s="1525"/>
      <c r="K1031" s="1525"/>
      <c r="L1031" s="1525"/>
      <c r="M1031" s="1525"/>
      <c r="N1031" s="1525"/>
      <c r="O1031" s="1525"/>
      <c r="P1031" s="1525"/>
      <c r="Q1031" s="1525"/>
      <c r="R1031" s="1525"/>
      <c r="S1031" s="1525"/>
      <c r="T1031" s="1525"/>
      <c r="U1031" s="1525"/>
      <c r="V1031" s="1525"/>
      <c r="W1031" s="1525"/>
      <c r="X1031" s="1525"/>
      <c r="Y1031" s="1525"/>
      <c r="Z1031" s="1525"/>
      <c r="AA1031" s="1525"/>
      <c r="AB1031" s="1525"/>
      <c r="AC1031" s="1525"/>
      <c r="AD1031" s="1525"/>
      <c r="AE1031" s="1526"/>
      <c r="AF1031" s="79"/>
      <c r="AG1031" s="1532" t="s">
        <v>675</v>
      </c>
      <c r="AH1031" s="1533"/>
      <c r="AI1031" s="87"/>
      <c r="AJ1031" s="1425">
        <f>ROUND(IF(AG1031="yes",(AJ991*0.15),0),0)</f>
        <v>0</v>
      </c>
      <c r="AK1031" s="1426"/>
      <c r="AL1031" s="1426"/>
      <c r="AM1031" s="1426"/>
      <c r="AN1031" s="1426"/>
      <c r="AO1031" s="1426"/>
      <c r="AP1031" s="1426"/>
      <c r="AQ1031" s="1427"/>
      <c r="AR1031" s="68"/>
      <c r="AS1031" s="68"/>
      <c r="AT1031" s="68"/>
      <c r="AU1031" s="68"/>
      <c r="AV1031" s="68"/>
      <c r="AW1031" s="68"/>
      <c r="AX1031" s="68"/>
      <c r="AY1031" s="68"/>
    </row>
    <row r="1032" spans="1:51" ht="12.95" customHeight="1">
      <c r="A1032" s="14"/>
      <c r="B1032" s="73"/>
      <c r="C1032" s="74"/>
      <c r="D1032" s="1563"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4"/>
      <c r="AF1032" s="950"/>
      <c r="AG1032" s="951"/>
      <c r="AH1032" s="951"/>
      <c r="AI1032" s="952"/>
      <c r="AJ1032" s="1428"/>
      <c r="AK1032" s="1429"/>
      <c r="AL1032" s="1429"/>
      <c r="AM1032" s="1429"/>
      <c r="AN1032" s="1429"/>
      <c r="AO1032" s="1429"/>
      <c r="AP1032" s="1429"/>
      <c r="AQ1032" s="1430"/>
      <c r="AR1032" s="68"/>
      <c r="AS1032" s="68"/>
      <c r="AT1032" s="68"/>
      <c r="AU1032" s="68"/>
      <c r="AV1032" s="68"/>
      <c r="AW1032" s="68"/>
      <c r="AX1032" s="68"/>
      <c r="AY1032" s="68"/>
    </row>
    <row r="1033" spans="1:51" ht="12.95" customHeight="1">
      <c r="A1033" s="14"/>
      <c r="B1033" s="73"/>
      <c r="C1033" s="74"/>
      <c r="D1033" s="156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4"/>
      <c r="AF1033" s="950"/>
      <c r="AG1033" s="951"/>
      <c r="AH1033" s="951"/>
      <c r="AI1033" s="952"/>
      <c r="AJ1033" s="1428"/>
      <c r="AK1033" s="1429"/>
      <c r="AL1033" s="1429"/>
      <c r="AM1033" s="1429"/>
      <c r="AN1033" s="1429"/>
      <c r="AO1033" s="1429"/>
      <c r="AP1033" s="1429"/>
      <c r="AQ1033" s="1430"/>
      <c r="AR1033" s="68"/>
      <c r="AS1033" s="68"/>
      <c r="AT1033" s="68"/>
      <c r="AU1033" s="68"/>
      <c r="AV1033" s="68"/>
      <c r="AW1033" s="68"/>
      <c r="AX1033" s="68"/>
      <c r="AY1033" s="68"/>
    </row>
    <row r="1034" spans="1:51" ht="12.95" customHeight="1">
      <c r="A1034" s="14"/>
      <c r="B1034" s="73"/>
      <c r="C1034" s="74"/>
      <c r="D1034" s="1565"/>
      <c r="E1034" s="1566"/>
      <c r="F1034" s="1566"/>
      <c r="G1034" s="1566"/>
      <c r="H1034" s="1566"/>
      <c r="I1034" s="1566"/>
      <c r="J1034" s="1566"/>
      <c r="K1034" s="1566"/>
      <c r="L1034" s="1566"/>
      <c r="M1034" s="1566"/>
      <c r="N1034" s="1566"/>
      <c r="O1034" s="1566"/>
      <c r="P1034" s="1566"/>
      <c r="Q1034" s="1566"/>
      <c r="R1034" s="1566"/>
      <c r="S1034" s="1566"/>
      <c r="T1034" s="1566"/>
      <c r="U1034" s="1566"/>
      <c r="V1034" s="1566"/>
      <c r="W1034" s="1566"/>
      <c r="X1034" s="1566"/>
      <c r="Y1034" s="1566"/>
      <c r="Z1034" s="1566"/>
      <c r="AA1034" s="1566"/>
      <c r="AB1034" s="1566"/>
      <c r="AC1034" s="1566"/>
      <c r="AD1034" s="1566"/>
      <c r="AE1034" s="1567"/>
      <c r="AF1034" s="953"/>
      <c r="AG1034" s="954"/>
      <c r="AH1034" s="954"/>
      <c r="AI1034" s="955"/>
      <c r="AJ1034" s="1431"/>
      <c r="AK1034" s="1432"/>
      <c r="AL1034" s="1432"/>
      <c r="AM1034" s="1432"/>
      <c r="AN1034" s="1432"/>
      <c r="AO1034" s="1432"/>
      <c r="AP1034" s="1432"/>
      <c r="AQ1034" s="1433"/>
      <c r="AR1034" s="68"/>
      <c r="AS1034" s="68"/>
      <c r="AT1034" s="68"/>
      <c r="AU1034" s="68"/>
      <c r="AV1034" s="68"/>
      <c r="AW1034" s="68"/>
      <c r="AX1034" s="68"/>
      <c r="AY1034" s="68"/>
    </row>
    <row r="1035" spans="1:51" ht="12.95" customHeight="1">
      <c r="A1035" s="14"/>
      <c r="B1035" s="73"/>
      <c r="C1035" s="367" t="s">
        <v>694</v>
      </c>
      <c r="D1035" s="1534" t="s">
        <v>1873</v>
      </c>
      <c r="E1035" s="1535"/>
      <c r="F1035" s="1535"/>
      <c r="G1035" s="1535"/>
      <c r="H1035" s="1535"/>
      <c r="I1035" s="1535"/>
      <c r="J1035" s="1535"/>
      <c r="K1035" s="1535"/>
      <c r="L1035" s="1535"/>
      <c r="M1035" s="1535"/>
      <c r="N1035" s="1535"/>
      <c r="O1035" s="1535"/>
      <c r="P1035" s="1535"/>
      <c r="Q1035" s="1535"/>
      <c r="R1035" s="1535"/>
      <c r="S1035" s="1535"/>
      <c r="T1035" s="1535"/>
      <c r="U1035" s="1535"/>
      <c r="V1035" s="1535"/>
      <c r="W1035" s="1535"/>
      <c r="X1035" s="1535"/>
      <c r="Y1035" s="1535"/>
      <c r="Z1035" s="1535"/>
      <c r="AA1035" s="1535"/>
      <c r="AB1035" s="1535"/>
      <c r="AC1035" s="1535"/>
      <c r="AD1035" s="1535"/>
      <c r="AE1035" s="1536"/>
      <c r="AF1035" s="73"/>
      <c r="AG1035" s="1731" t="s">
        <v>552</v>
      </c>
      <c r="AH1035" s="1732"/>
      <c r="AI1035" s="83"/>
      <c r="AJ1035" s="1425">
        <f>ROUND(IF(AND(AG1035="yes",AJ1031=0),(AJ991*0.1),0),0)</f>
        <v>26402122</v>
      </c>
      <c r="AK1035" s="1426"/>
      <c r="AL1035" s="1426"/>
      <c r="AM1035" s="1426"/>
      <c r="AN1035" s="1426"/>
      <c r="AO1035" s="1426"/>
      <c r="AP1035" s="1426"/>
      <c r="AQ1035" s="1427"/>
      <c r="AR1035" s="68"/>
      <c r="AS1035" s="68"/>
      <c r="AT1035" s="68"/>
      <c r="AU1035" s="68"/>
      <c r="AV1035" s="68"/>
      <c r="AW1035" s="68"/>
      <c r="AX1035" s="68"/>
      <c r="AY1035" s="68"/>
    </row>
    <row r="1036" spans="1:51" ht="12.95" customHeight="1">
      <c r="A1036" s="14"/>
      <c r="B1036" s="73"/>
      <c r="C1036" s="74"/>
      <c r="D1036" s="1563"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4"/>
      <c r="AF1036" s="73"/>
      <c r="AG1036" s="14"/>
      <c r="AH1036" s="14"/>
      <c r="AI1036" s="83"/>
      <c r="AJ1036" s="1428"/>
      <c r="AK1036" s="1429"/>
      <c r="AL1036" s="1429"/>
      <c r="AM1036" s="1429"/>
      <c r="AN1036" s="1429"/>
      <c r="AO1036" s="1429"/>
      <c r="AP1036" s="1429"/>
      <c r="AQ1036" s="1430"/>
      <c r="AR1036" s="68"/>
      <c r="AS1036" s="68"/>
      <c r="AT1036" s="68"/>
      <c r="AU1036" s="68"/>
      <c r="AV1036" s="68"/>
      <c r="AW1036" s="68"/>
      <c r="AX1036" s="68"/>
      <c r="AY1036" s="68"/>
    </row>
    <row r="1037" spans="1:51" ht="12.95" customHeight="1">
      <c r="A1037" s="14"/>
      <c r="B1037" s="73"/>
      <c r="C1037" s="74"/>
      <c r="D1037" s="156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4"/>
      <c r="AF1037" s="73"/>
      <c r="AG1037" s="14"/>
      <c r="AH1037" s="14"/>
      <c r="AI1037" s="83"/>
      <c r="AJ1037" s="1428"/>
      <c r="AK1037" s="1429"/>
      <c r="AL1037" s="1429"/>
      <c r="AM1037" s="1429"/>
      <c r="AN1037" s="1429"/>
      <c r="AO1037" s="1429"/>
      <c r="AP1037" s="1429"/>
      <c r="AQ1037" s="1430"/>
      <c r="AR1037" s="68"/>
      <c r="AS1037" s="68"/>
      <c r="AT1037" s="68"/>
      <c r="AU1037" s="68"/>
      <c r="AV1037" s="68"/>
      <c r="AW1037" s="68"/>
      <c r="AX1037" s="68"/>
      <c r="AY1037" s="68"/>
    </row>
    <row r="1038" spans="1:51" ht="12.95" customHeight="1">
      <c r="A1038" s="14"/>
      <c r="B1038" s="73"/>
      <c r="C1038" s="74"/>
      <c r="D1038" s="156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4"/>
      <c r="AF1038" s="73"/>
      <c r="AG1038" s="14"/>
      <c r="AH1038" s="14"/>
      <c r="AI1038" s="83"/>
      <c r="AJ1038" s="1428"/>
      <c r="AK1038" s="1429"/>
      <c r="AL1038" s="1429"/>
      <c r="AM1038" s="1429"/>
      <c r="AN1038" s="1429"/>
      <c r="AO1038" s="1429"/>
      <c r="AP1038" s="1429"/>
      <c r="AQ1038" s="1430"/>
      <c r="AR1038" s="68"/>
      <c r="AS1038" s="68"/>
      <c r="AT1038" s="68"/>
      <c r="AU1038" s="68"/>
      <c r="AV1038" s="68"/>
      <c r="AW1038" s="68"/>
      <c r="AX1038" s="68"/>
      <c r="AY1038" s="68"/>
    </row>
    <row r="1039" spans="1:51" ht="12.95" customHeight="1">
      <c r="A1039" s="14"/>
      <c r="B1039" s="73"/>
      <c r="C1039" s="74"/>
      <c r="D1039" s="1565"/>
      <c r="E1039" s="1566"/>
      <c r="F1039" s="1566"/>
      <c r="G1039" s="1566"/>
      <c r="H1039" s="1566"/>
      <c r="I1039" s="1566"/>
      <c r="J1039" s="1566"/>
      <c r="K1039" s="1566"/>
      <c r="L1039" s="1566"/>
      <c r="M1039" s="1566"/>
      <c r="N1039" s="1566"/>
      <c r="O1039" s="1566"/>
      <c r="P1039" s="1566"/>
      <c r="Q1039" s="1566"/>
      <c r="R1039" s="1566"/>
      <c r="S1039" s="1566"/>
      <c r="T1039" s="1566"/>
      <c r="U1039" s="1566"/>
      <c r="V1039" s="1566"/>
      <c r="W1039" s="1566"/>
      <c r="X1039" s="1566"/>
      <c r="Y1039" s="1566"/>
      <c r="Z1039" s="1566"/>
      <c r="AA1039" s="1566"/>
      <c r="AB1039" s="1566"/>
      <c r="AC1039" s="1566"/>
      <c r="AD1039" s="1566"/>
      <c r="AE1039" s="1567"/>
      <c r="AF1039" s="73"/>
      <c r="AG1039" s="14"/>
      <c r="AH1039" s="14"/>
      <c r="AI1039" s="83"/>
      <c r="AJ1039" s="1428"/>
      <c r="AK1039" s="1429"/>
      <c r="AL1039" s="1429"/>
      <c r="AM1039" s="1429"/>
      <c r="AN1039" s="1429"/>
      <c r="AO1039" s="1429"/>
      <c r="AP1039" s="1429"/>
      <c r="AQ1039" s="1430"/>
      <c r="AR1039" s="68"/>
      <c r="AS1039" s="68"/>
      <c r="AT1039" s="68"/>
      <c r="AU1039" s="68"/>
      <c r="AV1039" s="68"/>
      <c r="AW1039" s="68"/>
      <c r="AX1039" s="68"/>
      <c r="AY1039" s="68"/>
    </row>
    <row r="1040" spans="1:51" ht="12.95" customHeight="1">
      <c r="A1040" s="14"/>
      <c r="B1040" s="79"/>
      <c r="C1040" s="131" t="s">
        <v>1031</v>
      </c>
      <c r="D1040" s="1524" t="s">
        <v>1403</v>
      </c>
      <c r="E1040" s="1525"/>
      <c r="F1040" s="1525"/>
      <c r="G1040" s="1525"/>
      <c r="H1040" s="1525"/>
      <c r="I1040" s="1525"/>
      <c r="J1040" s="1525"/>
      <c r="K1040" s="1525"/>
      <c r="L1040" s="1525"/>
      <c r="M1040" s="1525"/>
      <c r="N1040" s="1525"/>
      <c r="O1040" s="1525"/>
      <c r="P1040" s="1525"/>
      <c r="Q1040" s="1525"/>
      <c r="R1040" s="1525"/>
      <c r="S1040" s="1525"/>
      <c r="T1040" s="1525"/>
      <c r="U1040" s="1525"/>
      <c r="V1040" s="1525"/>
      <c r="W1040" s="1525"/>
      <c r="X1040" s="1525"/>
      <c r="Y1040" s="1525"/>
      <c r="Z1040" s="1525"/>
      <c r="AA1040" s="1525"/>
      <c r="AB1040" s="1525"/>
      <c r="AC1040" s="1525"/>
      <c r="AD1040" s="1525"/>
      <c r="AE1040" s="1526"/>
      <c r="AF1040" s="79"/>
      <c r="AG1040" s="1532" t="s">
        <v>675</v>
      </c>
      <c r="AH1040" s="1533"/>
      <c r="AI1040" s="87"/>
      <c r="AJ1040" s="1425">
        <f>ROUND(IF(AG1040="yes",(AJ991*0.1),0),0)</f>
        <v>0</v>
      </c>
      <c r="AK1040" s="1426"/>
      <c r="AL1040" s="1426"/>
      <c r="AM1040" s="1426"/>
      <c r="AN1040" s="1426"/>
      <c r="AO1040" s="1426"/>
      <c r="AP1040" s="1426"/>
      <c r="AQ1040" s="1427"/>
      <c r="AR1040" s="68"/>
      <c r="AS1040" s="68"/>
      <c r="AT1040" s="68"/>
      <c r="AU1040" s="68"/>
      <c r="AV1040" s="68"/>
      <c r="AW1040" s="68"/>
      <c r="AX1040" s="68"/>
      <c r="AY1040" s="68"/>
    </row>
    <row r="1041" spans="1:51" ht="12.95" customHeight="1">
      <c r="A1041" s="14"/>
      <c r="B1041" s="73"/>
      <c r="C1041" s="74"/>
      <c r="D1041" s="1537" t="s">
        <v>2499</v>
      </c>
      <c r="E1041" s="1538"/>
      <c r="F1041" s="1538"/>
      <c r="G1041" s="1538"/>
      <c r="H1041" s="1538"/>
      <c r="I1041" s="1538"/>
      <c r="J1041" s="1538"/>
      <c r="K1041" s="1538"/>
      <c r="L1041" s="1538"/>
      <c r="M1041" s="1538"/>
      <c r="N1041" s="1538"/>
      <c r="O1041" s="1538"/>
      <c r="P1041" s="1538"/>
      <c r="Q1041" s="1538"/>
      <c r="R1041" s="1538"/>
      <c r="S1041" s="1538"/>
      <c r="T1041" s="1538"/>
      <c r="U1041" s="1538"/>
      <c r="V1041" s="1538"/>
      <c r="W1041" s="1538"/>
      <c r="X1041" s="1538"/>
      <c r="Y1041" s="1538"/>
      <c r="Z1041" s="1538"/>
      <c r="AA1041" s="1538"/>
      <c r="AB1041" s="1538"/>
      <c r="AC1041" s="1538"/>
      <c r="AD1041" s="1538"/>
      <c r="AE1041" s="1539"/>
      <c r="AF1041" s="73"/>
      <c r="AG1041" s="14"/>
      <c r="AH1041" s="14"/>
      <c r="AI1041" s="83"/>
      <c r="AJ1041" s="1428"/>
      <c r="AK1041" s="1429"/>
      <c r="AL1041" s="1429"/>
      <c r="AM1041" s="1429"/>
      <c r="AN1041" s="1429"/>
      <c r="AO1041" s="1429"/>
      <c r="AP1041" s="1429"/>
      <c r="AQ1041" s="1430"/>
      <c r="AR1041" s="68"/>
      <c r="AS1041" s="68"/>
      <c r="AT1041" s="68"/>
      <c r="AU1041" s="68"/>
      <c r="AV1041" s="68"/>
      <c r="AW1041" s="68"/>
      <c r="AX1041" s="68"/>
      <c r="AY1041" s="68"/>
    </row>
    <row r="1042" spans="1:51" ht="12.95" customHeight="1">
      <c r="A1042" s="14"/>
      <c r="B1042" s="73"/>
      <c r="C1042" s="74"/>
      <c r="D1042" s="1537"/>
      <c r="E1042" s="1538"/>
      <c r="F1042" s="1538"/>
      <c r="G1042" s="1538"/>
      <c r="H1042" s="1538"/>
      <c r="I1042" s="1538"/>
      <c r="J1042" s="1538"/>
      <c r="K1042" s="1538"/>
      <c r="L1042" s="1538"/>
      <c r="M1042" s="1538"/>
      <c r="N1042" s="1538"/>
      <c r="O1042" s="1538"/>
      <c r="P1042" s="1538"/>
      <c r="Q1042" s="1538"/>
      <c r="R1042" s="1538"/>
      <c r="S1042" s="1538"/>
      <c r="T1042" s="1538"/>
      <c r="U1042" s="1538"/>
      <c r="V1042" s="1538"/>
      <c r="W1042" s="1538"/>
      <c r="X1042" s="1538"/>
      <c r="Y1042" s="1538"/>
      <c r="Z1042" s="1538"/>
      <c r="AA1042" s="1538"/>
      <c r="AB1042" s="1538"/>
      <c r="AC1042" s="1538"/>
      <c r="AD1042" s="1538"/>
      <c r="AE1042" s="1539"/>
      <c r="AF1042" s="73"/>
      <c r="AG1042" s="14"/>
      <c r="AH1042" s="14"/>
      <c r="AI1042" s="83"/>
      <c r="AJ1042" s="1428"/>
      <c r="AK1042" s="1429"/>
      <c r="AL1042" s="1429"/>
      <c r="AM1042" s="1429"/>
      <c r="AN1042" s="1429"/>
      <c r="AO1042" s="1429"/>
      <c r="AP1042" s="1429"/>
      <c r="AQ1042" s="1430"/>
      <c r="AR1042" s="68"/>
      <c r="AS1042" s="68"/>
      <c r="AT1042" s="68"/>
      <c r="AU1042" s="68"/>
      <c r="AV1042" s="68"/>
      <c r="AW1042" s="68"/>
      <c r="AX1042" s="68"/>
      <c r="AY1042" s="68"/>
    </row>
    <row r="1043" spans="1:51" ht="12.95" customHeight="1">
      <c r="A1043" s="14"/>
      <c r="B1043" s="73"/>
      <c r="C1043" s="74"/>
      <c r="D1043" s="1540"/>
      <c r="E1043" s="1541"/>
      <c r="F1043" s="1541"/>
      <c r="G1043" s="1541"/>
      <c r="H1043" s="1541"/>
      <c r="I1043" s="1541"/>
      <c r="J1043" s="1541"/>
      <c r="K1043" s="1541"/>
      <c r="L1043" s="1541"/>
      <c r="M1043" s="1541"/>
      <c r="N1043" s="1541"/>
      <c r="O1043" s="1541"/>
      <c r="P1043" s="1541"/>
      <c r="Q1043" s="1541"/>
      <c r="R1043" s="1541"/>
      <c r="S1043" s="1541"/>
      <c r="T1043" s="1541"/>
      <c r="U1043" s="1541"/>
      <c r="V1043" s="1541"/>
      <c r="W1043" s="1541"/>
      <c r="X1043" s="1541"/>
      <c r="Y1043" s="1541"/>
      <c r="Z1043" s="1541"/>
      <c r="AA1043" s="1541"/>
      <c r="AB1043" s="1541"/>
      <c r="AC1043" s="1541"/>
      <c r="AD1043" s="1541"/>
      <c r="AE1043" s="1542"/>
      <c r="AF1043" s="73"/>
      <c r="AG1043" s="14"/>
      <c r="AH1043" s="14"/>
      <c r="AI1043" s="83"/>
      <c r="AJ1043" s="1431"/>
      <c r="AK1043" s="1432"/>
      <c r="AL1043" s="1432"/>
      <c r="AM1043" s="1432"/>
      <c r="AN1043" s="1432"/>
      <c r="AO1043" s="1432"/>
      <c r="AP1043" s="1432"/>
      <c r="AQ1043" s="1433"/>
      <c r="AR1043" s="68"/>
      <c r="AS1043" s="68"/>
      <c r="AT1043" s="68"/>
      <c r="AU1043" s="68"/>
      <c r="AV1043" s="68"/>
      <c r="AW1043" s="68"/>
      <c r="AX1043" s="68"/>
      <c r="AY1043" s="68"/>
    </row>
    <row r="1044" spans="1:51" ht="12.95" customHeight="1">
      <c r="A1044" s="14"/>
      <c r="B1044" s="79"/>
      <c r="C1044" s="131" t="s">
        <v>1869</v>
      </c>
      <c r="D1044" s="1534" t="s">
        <v>2051</v>
      </c>
      <c r="E1044" s="1535"/>
      <c r="F1044" s="1535"/>
      <c r="G1044" s="1535"/>
      <c r="H1044" s="1535"/>
      <c r="I1044" s="1535"/>
      <c r="J1044" s="1535"/>
      <c r="K1044" s="1535"/>
      <c r="L1044" s="1535"/>
      <c r="M1044" s="1535"/>
      <c r="N1044" s="1535"/>
      <c r="O1044" s="1535"/>
      <c r="P1044" s="1535"/>
      <c r="Q1044" s="1535"/>
      <c r="R1044" s="1535"/>
      <c r="S1044" s="1535"/>
      <c r="T1044" s="1535"/>
      <c r="U1044" s="1535"/>
      <c r="V1044" s="1535"/>
      <c r="W1044" s="1535"/>
      <c r="X1044" s="1535"/>
      <c r="Y1044" s="1535"/>
      <c r="Z1044" s="1535"/>
      <c r="AA1044" s="1535"/>
      <c r="AB1044" s="1535"/>
      <c r="AC1044" s="1535"/>
      <c r="AD1044" s="1535"/>
      <c r="AE1044" s="1536"/>
      <c r="AF1044" s="79"/>
      <c r="AG1044" s="1601" t="str">
        <f>IF(X1047&gt;0,"Yes","No")</f>
        <v>Yes</v>
      </c>
      <c r="AH1044" s="1602"/>
      <c r="AI1044" s="87"/>
      <c r="AJ1044" s="1425">
        <f>IF((X1047=0),0,AY1004*AJ991)</f>
        <v>26402122.400000002</v>
      </c>
      <c r="AK1044" s="1426"/>
      <c r="AL1044" s="1426"/>
      <c r="AM1044" s="1426"/>
      <c r="AN1044" s="1426"/>
      <c r="AO1044" s="1426"/>
      <c r="AP1044" s="1426"/>
      <c r="AQ1044" s="1427"/>
      <c r="AR1044" s="68"/>
      <c r="AS1044" s="68"/>
      <c r="AT1044" s="68"/>
      <c r="AU1044" s="68"/>
      <c r="AV1044" s="68"/>
      <c r="AW1044" s="68"/>
      <c r="AX1044" s="68"/>
      <c r="AY1044" s="68"/>
    </row>
    <row r="1045" spans="1:51" ht="12.95" customHeight="1">
      <c r="A1045" s="14"/>
      <c r="B1045" s="73"/>
      <c r="C1045" s="476"/>
      <c r="D1045" s="1537" t="s">
        <v>1405</v>
      </c>
      <c r="E1045" s="1538"/>
      <c r="F1045" s="1538"/>
      <c r="G1045" s="1538"/>
      <c r="H1045" s="1538"/>
      <c r="I1045" s="1538"/>
      <c r="J1045" s="1538"/>
      <c r="K1045" s="1538"/>
      <c r="L1045" s="1538"/>
      <c r="M1045" s="1538"/>
      <c r="N1045" s="1538"/>
      <c r="O1045" s="1538"/>
      <c r="P1045" s="1538"/>
      <c r="Q1045" s="1538"/>
      <c r="R1045" s="1538"/>
      <c r="S1045" s="1538"/>
      <c r="T1045" s="1538"/>
      <c r="U1045" s="1538"/>
      <c r="V1045" s="1538"/>
      <c r="W1045" s="1538"/>
      <c r="X1045" s="1538"/>
      <c r="Y1045" s="1538"/>
      <c r="Z1045" s="1538"/>
      <c r="AA1045" s="1538"/>
      <c r="AB1045" s="1538"/>
      <c r="AC1045" s="1538"/>
      <c r="AD1045" s="1538"/>
      <c r="AE1045" s="1539"/>
      <c r="AF1045" s="73"/>
      <c r="AG1045" s="477"/>
      <c r="AH1045" s="477"/>
      <c r="AI1045" s="83"/>
      <c r="AJ1045" s="1428"/>
      <c r="AK1045" s="1429"/>
      <c r="AL1045" s="1429"/>
      <c r="AM1045" s="1429"/>
      <c r="AN1045" s="1429"/>
      <c r="AO1045" s="1429"/>
      <c r="AP1045" s="1429"/>
      <c r="AQ1045" s="1430"/>
      <c r="AR1045" s="68"/>
      <c r="AS1045" s="68"/>
      <c r="AT1045" s="68"/>
      <c r="AU1045" s="13"/>
      <c r="AV1045" s="68"/>
      <c r="AW1045" s="68"/>
      <c r="AX1045" s="68"/>
      <c r="AY1045" s="68"/>
    </row>
    <row r="1046" spans="1:51" ht="12.95" customHeight="1">
      <c r="A1046" s="14"/>
      <c r="B1046" s="73"/>
      <c r="C1046" s="476"/>
      <c r="D1046" s="1537"/>
      <c r="E1046" s="1538"/>
      <c r="F1046" s="1538"/>
      <c r="G1046" s="1538"/>
      <c r="H1046" s="1538"/>
      <c r="I1046" s="1538"/>
      <c r="J1046" s="1538"/>
      <c r="K1046" s="1538"/>
      <c r="L1046" s="1538"/>
      <c r="M1046" s="1538"/>
      <c r="N1046" s="1538"/>
      <c r="O1046" s="1538"/>
      <c r="P1046" s="1538"/>
      <c r="Q1046" s="1538"/>
      <c r="R1046" s="1538"/>
      <c r="S1046" s="1538"/>
      <c r="T1046" s="1538"/>
      <c r="U1046" s="1538"/>
      <c r="V1046" s="1538"/>
      <c r="W1046" s="1538"/>
      <c r="X1046" s="1538"/>
      <c r="Y1046" s="1538"/>
      <c r="Z1046" s="1538"/>
      <c r="AA1046" s="1538"/>
      <c r="AB1046" s="1538"/>
      <c r="AC1046" s="1538"/>
      <c r="AD1046" s="1538"/>
      <c r="AE1046" s="1539"/>
      <c r="AF1046" s="73"/>
      <c r="AG1046" s="477"/>
      <c r="AH1046" s="477"/>
      <c r="AI1046" s="83"/>
      <c r="AJ1046" s="1428"/>
      <c r="AK1046" s="1429"/>
      <c r="AL1046" s="1429"/>
      <c r="AM1046" s="1429"/>
      <c r="AN1046" s="1429"/>
      <c r="AO1046" s="1429"/>
      <c r="AP1046" s="1429"/>
      <c r="AQ1046" s="143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29">
        <f>AY1002</f>
        <v>476</v>
      </c>
      <c r="J1047" s="1730"/>
      <c r="K1047" s="7"/>
      <c r="L1047" s="133"/>
      <c r="M1047" s="133"/>
      <c r="N1047" s="133"/>
      <c r="O1047" s="133"/>
      <c r="P1047" s="133"/>
      <c r="Q1047" s="133"/>
      <c r="R1047" s="133"/>
      <c r="S1047" s="133"/>
      <c r="T1047" s="133"/>
      <c r="U1047" s="133"/>
      <c r="V1047" s="134" t="s">
        <v>989</v>
      </c>
      <c r="W1047" s="48"/>
      <c r="X1047" s="1727">
        <f>BG632</f>
        <v>50</v>
      </c>
      <c r="Y1047" s="1728"/>
      <c r="Z1047" s="48"/>
      <c r="AA1047" s="48"/>
      <c r="AB1047" s="48"/>
      <c r="AC1047" s="48"/>
      <c r="AD1047" s="48"/>
      <c r="AE1047" s="49"/>
      <c r="AF1047" s="959"/>
      <c r="AG1047" s="960"/>
      <c r="AH1047" s="960"/>
      <c r="AI1047" s="961"/>
      <c r="AJ1047" s="1431"/>
      <c r="AK1047" s="1432"/>
      <c r="AL1047" s="1432"/>
      <c r="AM1047" s="1432"/>
      <c r="AN1047" s="1432"/>
      <c r="AO1047" s="1432"/>
      <c r="AP1047" s="1432"/>
      <c r="AQ1047" s="1433"/>
      <c r="AR1047" s="68"/>
      <c r="AS1047" s="68"/>
      <c r="AT1047" s="68"/>
      <c r="AU1047" s="14"/>
      <c r="AV1047" s="68"/>
      <c r="AW1047" s="68"/>
      <c r="AX1047" s="68"/>
      <c r="AY1047" s="68"/>
    </row>
    <row r="1048" spans="1:51" ht="12.95" customHeight="1">
      <c r="A1048" s="14"/>
      <c r="B1048" s="79"/>
      <c r="C1048" s="131" t="s">
        <v>1870</v>
      </c>
      <c r="D1048" s="1524" t="s">
        <v>2528</v>
      </c>
      <c r="E1048" s="1525"/>
      <c r="F1048" s="1525"/>
      <c r="G1048" s="1525"/>
      <c r="H1048" s="1525"/>
      <c r="I1048" s="1525"/>
      <c r="J1048" s="1525"/>
      <c r="K1048" s="1525"/>
      <c r="L1048" s="1525"/>
      <c r="M1048" s="1525"/>
      <c r="N1048" s="1525"/>
      <c r="O1048" s="1525"/>
      <c r="P1048" s="1525"/>
      <c r="Q1048" s="1525"/>
      <c r="R1048" s="1525"/>
      <c r="S1048" s="1525"/>
      <c r="T1048" s="1525"/>
      <c r="U1048" s="1525"/>
      <c r="V1048" s="1525"/>
      <c r="W1048" s="1525"/>
      <c r="X1048" s="1525"/>
      <c r="Y1048" s="1525"/>
      <c r="Z1048" s="1525"/>
      <c r="AA1048" s="1525"/>
      <c r="AB1048" s="1525"/>
      <c r="AC1048" s="1525"/>
      <c r="AD1048" s="1525"/>
      <c r="AE1048" s="1526"/>
      <c r="AF1048" s="73"/>
      <c r="AG1048" s="1601" t="str">
        <f>IF(X1051&gt;0,"Yes","No")</f>
        <v>Yes</v>
      </c>
      <c r="AH1048" s="1602"/>
      <c r="AI1048" s="83"/>
      <c r="AJ1048" s="1425">
        <f>IF((X1051=0),0,(2*AY1005)*AJ991)</f>
        <v>52804244.800000004</v>
      </c>
      <c r="AK1048" s="1426"/>
      <c r="AL1048" s="1426"/>
      <c r="AM1048" s="1426"/>
      <c r="AN1048" s="1426"/>
      <c r="AO1048" s="1426"/>
      <c r="AP1048" s="1426"/>
      <c r="AQ1048" s="1427"/>
      <c r="AR1048" s="68"/>
      <c r="AS1048" s="68"/>
      <c r="AT1048" s="68"/>
      <c r="AU1048" s="14"/>
      <c r="AV1048" s="68"/>
      <c r="AW1048" s="68"/>
      <c r="AX1048" s="68"/>
      <c r="AY1048" s="68"/>
    </row>
    <row r="1049" spans="1:51" ht="12.95" customHeight="1">
      <c r="A1049" s="14"/>
      <c r="B1049" s="73"/>
      <c r="C1049" s="476"/>
      <c r="D1049" s="1537" t="s">
        <v>1404</v>
      </c>
      <c r="E1049" s="1538"/>
      <c r="F1049" s="1538"/>
      <c r="G1049" s="1538"/>
      <c r="H1049" s="1538"/>
      <c r="I1049" s="1538"/>
      <c r="J1049" s="1538"/>
      <c r="K1049" s="1538"/>
      <c r="L1049" s="1538"/>
      <c r="M1049" s="1538"/>
      <c r="N1049" s="1538"/>
      <c r="O1049" s="1538"/>
      <c r="P1049" s="1538"/>
      <c r="Q1049" s="1538"/>
      <c r="R1049" s="1538"/>
      <c r="S1049" s="1538"/>
      <c r="T1049" s="1538"/>
      <c r="U1049" s="1538"/>
      <c r="V1049" s="1538"/>
      <c r="W1049" s="1538"/>
      <c r="X1049" s="1538"/>
      <c r="Y1049" s="1538"/>
      <c r="Z1049" s="1538"/>
      <c r="AA1049" s="1538"/>
      <c r="AB1049" s="1538"/>
      <c r="AC1049" s="1538"/>
      <c r="AD1049" s="1538"/>
      <c r="AE1049" s="1539"/>
      <c r="AF1049" s="73"/>
      <c r="AG1049" s="477"/>
      <c r="AH1049" s="477"/>
      <c r="AI1049" s="83"/>
      <c r="AJ1049" s="1428"/>
      <c r="AK1049" s="1429"/>
      <c r="AL1049" s="1429"/>
      <c r="AM1049" s="1429"/>
      <c r="AN1049" s="1429"/>
      <c r="AO1049" s="1429"/>
      <c r="AP1049" s="1429"/>
      <c r="AQ1049" s="1430"/>
      <c r="AR1049" s="68"/>
      <c r="AS1049" s="68"/>
      <c r="AT1049" s="68"/>
      <c r="AU1049" s="68"/>
      <c r="AV1049" s="68"/>
      <c r="AW1049" s="68"/>
      <c r="AX1049" s="68"/>
      <c r="AY1049" s="68"/>
    </row>
    <row r="1050" spans="1:51" ht="12.95" customHeight="1">
      <c r="A1050" s="14"/>
      <c r="B1050" s="73"/>
      <c r="C1050" s="83"/>
      <c r="D1050" s="1537"/>
      <c r="E1050" s="1538"/>
      <c r="F1050" s="1538"/>
      <c r="G1050" s="1538"/>
      <c r="H1050" s="1538"/>
      <c r="I1050" s="1538"/>
      <c r="J1050" s="1538"/>
      <c r="K1050" s="1538"/>
      <c r="L1050" s="1538"/>
      <c r="M1050" s="1538"/>
      <c r="N1050" s="1538"/>
      <c r="O1050" s="1538"/>
      <c r="P1050" s="1538"/>
      <c r="Q1050" s="1538"/>
      <c r="R1050" s="1538"/>
      <c r="S1050" s="1538"/>
      <c r="T1050" s="1538"/>
      <c r="U1050" s="1538"/>
      <c r="V1050" s="1538"/>
      <c r="W1050" s="1538"/>
      <c r="X1050" s="1538"/>
      <c r="Y1050" s="1538"/>
      <c r="Z1050" s="1538"/>
      <c r="AA1050" s="1538"/>
      <c r="AB1050" s="1538"/>
      <c r="AC1050" s="1538"/>
      <c r="AD1050" s="1538"/>
      <c r="AE1050" s="1539"/>
      <c r="AF1050" s="956"/>
      <c r="AG1050" s="957"/>
      <c r="AH1050" s="957"/>
      <c r="AI1050" s="958"/>
      <c r="AJ1050" s="1428"/>
      <c r="AK1050" s="1429"/>
      <c r="AL1050" s="1429"/>
      <c r="AM1050" s="1429"/>
      <c r="AN1050" s="1429"/>
      <c r="AO1050" s="1429"/>
      <c r="AP1050" s="1429"/>
      <c r="AQ1050" s="143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29">
        <f>AY1002</f>
        <v>476</v>
      </c>
      <c r="J1051" s="1730"/>
      <c r="K1051" s="14"/>
      <c r="L1051" s="133"/>
      <c r="M1051" s="133"/>
      <c r="N1051" s="133"/>
      <c r="O1051" s="133"/>
      <c r="P1051" s="133"/>
      <c r="Q1051" s="133"/>
      <c r="R1051" s="133"/>
      <c r="S1051" s="133"/>
      <c r="T1051" s="133"/>
      <c r="U1051" s="133"/>
      <c r="V1051" s="134" t="s">
        <v>990</v>
      </c>
      <c r="X1051" s="1727">
        <f>BK632</f>
        <v>50</v>
      </c>
      <c r="Y1051" s="1728"/>
      <c r="AF1051" s="959"/>
      <c r="AG1051" s="960"/>
      <c r="AH1051" s="960"/>
      <c r="AI1051" s="961"/>
      <c r="AJ1051" s="1431"/>
      <c r="AK1051" s="1432"/>
      <c r="AL1051" s="1432"/>
      <c r="AM1051" s="1432"/>
      <c r="AN1051" s="1432"/>
      <c r="AO1051" s="1432"/>
      <c r="AP1051" s="1432"/>
      <c r="AQ1051" s="1433"/>
      <c r="AR1051" s="68"/>
      <c r="AS1051" s="68"/>
      <c r="AT1051" s="68"/>
      <c r="AU1051" s="68"/>
      <c r="AV1051" s="68"/>
      <c r="AW1051" s="68"/>
      <c r="AX1051" s="68"/>
      <c r="AY1051" s="68"/>
    </row>
    <row r="1052" spans="1:51" ht="12.95" customHeight="1">
      <c r="A1052" s="14"/>
      <c r="B1052" s="102"/>
      <c r="C1052" s="103"/>
      <c r="D1052" s="1725" t="s">
        <v>520</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98">
        <f>SUM(AJ991:AQ1051)</f>
        <v>414698520.19999999</v>
      </c>
      <c r="AK1052" s="1599"/>
      <c r="AL1052" s="1599"/>
      <c r="AM1052" s="1599"/>
      <c r="AN1052" s="1599"/>
      <c r="AO1052" s="1599"/>
      <c r="AP1052" s="1599"/>
      <c r="AQ1052" s="160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3">
        <f>IF(ISNA(IF((AJ1019&gt;(AJ991*0.15)),"(f) cannot be greater than 15% of unadjusted eligible basis.",0)),"",(IF((AJ1019&gt;(AJ991*0.15)),"(f) cannot be greater than 15% of unadjusted eligible basis.",0)))</f>
        <v>0</v>
      </c>
      <c r="C1059" s="1423"/>
      <c r="D1059" s="1423"/>
      <c r="E1059" s="1423"/>
      <c r="F1059" s="1423"/>
      <c r="G1059" s="1423"/>
      <c r="H1059" s="1423"/>
      <c r="I1059" s="1423"/>
      <c r="J1059" s="1423"/>
      <c r="K1059" s="1423"/>
      <c r="L1059" s="1423"/>
      <c r="M1059" s="1423"/>
      <c r="N1059" s="1423"/>
      <c r="O1059" s="1423"/>
      <c r="P1059" s="1423"/>
      <c r="Q1059" s="1423"/>
      <c r="R1059" s="1423"/>
      <c r="S1059" s="1423"/>
      <c r="T1059" s="1423"/>
      <c r="U1059" s="1423"/>
      <c r="V1059" s="1423"/>
      <c r="W1059" s="1423"/>
      <c r="X1059" s="1423"/>
      <c r="Y1059" s="1423"/>
      <c r="Z1059" s="1423"/>
      <c r="AA1059" s="1423"/>
      <c r="AB1059" s="1423"/>
      <c r="AC1059" s="1423"/>
      <c r="AD1059" s="1423"/>
      <c r="AE1059" s="1423"/>
      <c r="AF1059" s="1423"/>
      <c r="AG1059" s="1423"/>
      <c r="AH1059" s="1423"/>
      <c r="AI1059" s="1423"/>
      <c r="AJ1059" s="1423"/>
      <c r="AK1059" s="1423"/>
      <c r="AL1059" s="1423"/>
      <c r="AM1059" s="1423"/>
      <c r="AN1059" s="1423"/>
      <c r="AO1059" s="1423"/>
      <c r="AP1059" s="1423"/>
      <c r="AQ1059" s="68"/>
      <c r="AR1059" s="68"/>
      <c r="AS1059" s="68"/>
      <c r="AT1059" s="68"/>
      <c r="AU1059" s="68"/>
      <c r="AV1059" s="68"/>
      <c r="AW1059" s="68"/>
      <c r="AX1059" s="68"/>
      <c r="AY1059" s="68"/>
    </row>
    <row r="1060" spans="1:51" ht="12.95" customHeight="1">
      <c r="A1060" s="1302" t="s">
        <v>801</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598</v>
      </c>
      <c r="B1064" s="1379"/>
      <c r="C1064" s="8">
        <v>1</v>
      </c>
      <c r="D1064" s="1266" t="s">
        <v>1130</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598</v>
      </c>
      <c r="B1070" s="1379"/>
      <c r="C1070" s="8">
        <v>2</v>
      </c>
      <c r="D1070" s="1266" t="s">
        <v>1129</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598</v>
      </c>
      <c r="B1076" s="1379"/>
      <c r="C1076" s="8">
        <v>3</v>
      </c>
      <c r="D1076" s="1266" t="s">
        <v>2453</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598</v>
      </c>
      <c r="B1083" s="1379"/>
      <c r="C1083" s="8">
        <v>4</v>
      </c>
      <c r="D1083" s="1266" t="s">
        <v>1115</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598</v>
      </c>
      <c r="B1086" s="1379"/>
      <c r="C1086" s="8">
        <v>5</v>
      </c>
      <c r="D1086" s="1266" t="s">
        <v>2454</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598</v>
      </c>
      <c r="B1091" s="1379"/>
      <c r="C1091" s="8">
        <v>6</v>
      </c>
      <c r="D1091" s="1266" t="s">
        <v>1116</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598</v>
      </c>
      <c r="B1094" s="1379"/>
      <c r="C1094" s="212">
        <v>7</v>
      </c>
      <c r="D1094" s="1266" t="s">
        <v>1118</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598</v>
      </c>
      <c r="B1098" s="1379"/>
      <c r="C1098" s="212">
        <v>8</v>
      </c>
      <c r="D1098" s="1326" t="s">
        <v>1867</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598</v>
      </c>
      <c r="B1103" s="1379"/>
      <c r="C1103" s="212">
        <v>9</v>
      </c>
      <c r="D1103" s="1266" t="s">
        <v>1117</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Q46" sqref="Q46"/>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66" t="s">
        <v>628</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4378535</v>
      </c>
      <c r="C4" s="147">
        <v>4378535</v>
      </c>
      <c r="D4" s="147"/>
      <c r="E4" s="147">
        <v>4378535</v>
      </c>
      <c r="F4" s="147"/>
      <c r="G4" s="147"/>
      <c r="H4" s="147"/>
      <c r="I4" s="147"/>
      <c r="J4" s="147"/>
      <c r="K4" s="147"/>
      <c r="L4" s="147"/>
      <c r="M4" s="147"/>
      <c r="N4" s="147"/>
      <c r="O4" s="147"/>
      <c r="P4" s="147"/>
      <c r="Q4" s="147"/>
      <c r="R4" s="550">
        <f>SUM(E4:Q4)</f>
        <v>4378535</v>
      </c>
      <c r="S4" s="148"/>
      <c r="T4" s="148"/>
      <c r="U4" s="143"/>
    </row>
    <row r="5" spans="1:21" s="144" customFormat="1">
      <c r="A5" s="145" t="s">
        <v>28</v>
      </c>
      <c r="B5" s="146">
        <f>SUM(C5+D5)</f>
        <v>297275</v>
      </c>
      <c r="C5" s="147">
        <v>297275</v>
      </c>
      <c r="D5" s="147"/>
      <c r="E5" s="147">
        <v>297275</v>
      </c>
      <c r="F5" s="147"/>
      <c r="G5" s="147"/>
      <c r="H5" s="147"/>
      <c r="I5" s="147"/>
      <c r="J5" s="147"/>
      <c r="K5" s="147"/>
      <c r="L5" s="147"/>
      <c r="M5" s="147"/>
      <c r="N5" s="147"/>
      <c r="O5" s="147"/>
      <c r="P5" s="147"/>
      <c r="Q5" s="147"/>
      <c r="R5" s="550">
        <f>SUM(E5:Q5)</f>
        <v>297275</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4680810</v>
      </c>
      <c r="C8" s="146">
        <f t="shared" ref="C8:Q8" si="0">SUM(C4:C7)</f>
        <v>4680810</v>
      </c>
      <c r="D8" s="146">
        <f t="shared" si="0"/>
        <v>0</v>
      </c>
      <c r="E8" s="146">
        <f t="shared" si="0"/>
        <v>4680810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4680810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183200</v>
      </c>
      <c r="C10" s="147">
        <v>183200</v>
      </c>
      <c r="D10" s="147"/>
      <c r="E10" s="147">
        <v>183200</v>
      </c>
      <c r="F10" s="147"/>
      <c r="G10" s="147"/>
      <c r="H10" s="147"/>
      <c r="I10" s="147"/>
      <c r="J10" s="147"/>
      <c r="K10" s="147"/>
      <c r="L10" s="147"/>
      <c r="M10" s="147"/>
      <c r="N10" s="147"/>
      <c r="O10" s="147"/>
      <c r="P10" s="147"/>
      <c r="Q10" s="147"/>
      <c r="R10" s="550">
        <f>SUM(E10:Q10)</f>
        <v>183200</v>
      </c>
      <c r="S10" s="147">
        <f>R10</f>
        <v>183200</v>
      </c>
      <c r="T10" s="147"/>
      <c r="U10" s="143"/>
    </row>
    <row r="11" spans="1:21" s="144" customFormat="1">
      <c r="A11" s="149" t="s">
        <v>603</v>
      </c>
      <c r="B11" s="146">
        <f>SUM(C11:D11)</f>
        <v>183200</v>
      </c>
      <c r="C11" s="146">
        <f t="shared" ref="C11:Q11" si="1">SUM(C9:C10)</f>
        <v>183200</v>
      </c>
      <c r="D11" s="146">
        <f t="shared" si="1"/>
        <v>0</v>
      </c>
      <c r="E11" s="146">
        <f t="shared" si="1"/>
        <v>183200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183200</v>
      </c>
      <c r="S11" s="148"/>
      <c r="T11" s="150">
        <f>SUM(T9:T10)</f>
        <v>0</v>
      </c>
      <c r="U11" s="143"/>
    </row>
    <row r="12" spans="1:21" s="144" customFormat="1">
      <c r="A12" s="149" t="s">
        <v>84</v>
      </c>
      <c r="B12" s="146">
        <f t="shared" ref="B12:Q12" si="2">SUM(B8+B11)</f>
        <v>4864010</v>
      </c>
      <c r="C12" s="146">
        <f t="shared" si="2"/>
        <v>4864010</v>
      </c>
      <c r="D12" s="146">
        <f t="shared" si="2"/>
        <v>0</v>
      </c>
      <c r="E12" s="146">
        <f t="shared" si="2"/>
        <v>4864010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4864010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3848000</v>
      </c>
      <c r="C29" s="147">
        <v>3848000</v>
      </c>
      <c r="D29" s="147"/>
      <c r="E29" s="147">
        <v>2710685</v>
      </c>
      <c r="F29" s="147">
        <v>1137315</v>
      </c>
      <c r="G29" s="147"/>
      <c r="H29" s="147"/>
      <c r="I29" s="147"/>
      <c r="J29" s="147"/>
      <c r="K29" s="147"/>
      <c r="L29" s="147"/>
      <c r="M29" s="147"/>
      <c r="N29" s="147"/>
      <c r="O29" s="147"/>
      <c r="P29" s="147"/>
      <c r="Q29" s="147"/>
      <c r="R29" s="550">
        <f t="shared" ref="R29:R37" si="7">SUM(E29:Q29)</f>
        <v>3848000</v>
      </c>
      <c r="S29" s="147">
        <f>R29</f>
        <v>3848000</v>
      </c>
      <c r="T29" s="147"/>
      <c r="U29" s="143"/>
    </row>
    <row r="30" spans="1:21" s="144" customFormat="1">
      <c r="A30" s="145" t="s">
        <v>606</v>
      </c>
      <c r="B30" s="146">
        <f t="shared" si="6"/>
        <v>98921206</v>
      </c>
      <c r="C30" s="147">
        <v>98921206</v>
      </c>
      <c r="D30" s="147"/>
      <c r="E30" s="147"/>
      <c r="F30" s="147">
        <v>54921206</v>
      </c>
      <c r="G30" s="147">
        <v>44000000</v>
      </c>
      <c r="H30" s="147"/>
      <c r="I30" s="147"/>
      <c r="J30" s="147"/>
      <c r="K30" s="147"/>
      <c r="L30" s="147"/>
      <c r="M30" s="147"/>
      <c r="N30" s="147"/>
      <c r="O30" s="147"/>
      <c r="P30" s="147"/>
      <c r="Q30" s="147"/>
      <c r="R30" s="550">
        <f t="shared" si="7"/>
        <v>98921206</v>
      </c>
      <c r="S30" s="147">
        <f>R30</f>
        <v>98921206</v>
      </c>
      <c r="T30" s="147"/>
      <c r="U30" s="143"/>
    </row>
    <row r="31" spans="1:21" s="144" customFormat="1">
      <c r="A31" s="145" t="s">
        <v>607</v>
      </c>
      <c r="B31" s="146">
        <f t="shared" si="6"/>
        <v>6177144</v>
      </c>
      <c r="C31" s="147">
        <v>6177144</v>
      </c>
      <c r="D31" s="147"/>
      <c r="E31" s="147">
        <v>6177144</v>
      </c>
      <c r="F31" s="147"/>
      <c r="G31" s="147"/>
      <c r="H31" s="147"/>
      <c r="I31" s="147"/>
      <c r="J31" s="147"/>
      <c r="K31" s="147"/>
      <c r="L31" s="147"/>
      <c r="M31" s="147"/>
      <c r="N31" s="147"/>
      <c r="O31" s="147"/>
      <c r="P31" s="147"/>
      <c r="Q31" s="147"/>
      <c r="R31" s="550">
        <f t="shared" si="7"/>
        <v>6177144</v>
      </c>
      <c r="S31" s="147">
        <f>R31</f>
        <v>6177144</v>
      </c>
      <c r="T31" s="147"/>
      <c r="U31" s="143"/>
    </row>
    <row r="32" spans="1:21" s="144" customFormat="1">
      <c r="A32" s="145" t="s">
        <v>137</v>
      </c>
      <c r="B32" s="146">
        <f t="shared" si="6"/>
        <v>2182591</v>
      </c>
      <c r="C32" s="147">
        <v>2182591</v>
      </c>
      <c r="D32" s="147"/>
      <c r="E32" s="147">
        <v>2182591</v>
      </c>
      <c r="F32" s="147"/>
      <c r="G32" s="147"/>
      <c r="H32" s="147"/>
      <c r="I32" s="147"/>
      <c r="J32" s="147"/>
      <c r="K32" s="147"/>
      <c r="L32" s="147"/>
      <c r="M32" s="147"/>
      <c r="N32" s="147"/>
      <c r="O32" s="147"/>
      <c r="P32" s="147"/>
      <c r="Q32" s="147"/>
      <c r="R32" s="550">
        <f t="shared" si="7"/>
        <v>2182591</v>
      </c>
      <c r="S32" s="147">
        <f>R32</f>
        <v>2182591</v>
      </c>
      <c r="T32" s="147"/>
      <c r="U32" s="143"/>
    </row>
    <row r="33" spans="1:21" s="144" customFormat="1">
      <c r="A33" s="145" t="s">
        <v>138</v>
      </c>
      <c r="B33" s="146">
        <f t="shared" si="6"/>
        <v>6547773</v>
      </c>
      <c r="C33" s="147">
        <v>6547773</v>
      </c>
      <c r="D33" s="147"/>
      <c r="E33" s="147"/>
      <c r="F33" s="147">
        <v>6547773</v>
      </c>
      <c r="G33" s="147"/>
      <c r="H33" s="147"/>
      <c r="I33" s="147"/>
      <c r="J33" s="147"/>
      <c r="K33" s="147"/>
      <c r="L33" s="147"/>
      <c r="M33" s="147"/>
      <c r="N33" s="147"/>
      <c r="O33" s="147"/>
      <c r="P33" s="147"/>
      <c r="Q33" s="147"/>
      <c r="R33" s="550">
        <f t="shared" si="7"/>
        <v>6547773</v>
      </c>
      <c r="S33" s="147">
        <f>R33</f>
        <v>6547773</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1100000</v>
      </c>
      <c r="C35" s="147">
        <v>1100000</v>
      </c>
      <c r="D35" s="147"/>
      <c r="E35" s="147">
        <v>1100000</v>
      </c>
      <c r="F35" s="147"/>
      <c r="G35" s="147"/>
      <c r="H35" s="147"/>
      <c r="I35" s="147"/>
      <c r="J35" s="147"/>
      <c r="K35" s="147"/>
      <c r="L35" s="147"/>
      <c r="M35" s="147"/>
      <c r="N35" s="147"/>
      <c r="O35" s="147"/>
      <c r="P35" s="147"/>
      <c r="Q35" s="147"/>
      <c r="R35" s="550">
        <f t="shared" si="7"/>
        <v>1100000</v>
      </c>
      <c r="S35" s="147">
        <f>R35</f>
        <v>1100000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118776714</v>
      </c>
      <c r="C38" s="146">
        <f>SUM(C29:C37)</f>
        <v>118776714</v>
      </c>
      <c r="D38" s="146">
        <f t="shared" ref="D38:Q38" si="8">SUM(D29:D37)</f>
        <v>0</v>
      </c>
      <c r="E38" s="146">
        <f t="shared" si="8"/>
        <v>12170420</v>
      </c>
      <c r="F38" s="146">
        <f t="shared" si="8"/>
        <v>62606294</v>
      </c>
      <c r="G38" s="146">
        <f t="shared" si="8"/>
        <v>44000000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118776714</v>
      </c>
      <c r="S38" s="150">
        <f>SUM(S29:S37)</f>
        <v>118776714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290000</v>
      </c>
      <c r="C43" s="147">
        <v>290000</v>
      </c>
      <c r="D43" s="147"/>
      <c r="E43" s="147">
        <v>290000</v>
      </c>
      <c r="F43" s="147"/>
      <c r="G43" s="147"/>
      <c r="H43" s="147"/>
      <c r="I43" s="147"/>
      <c r="J43" s="147"/>
      <c r="K43" s="147"/>
      <c r="L43" s="147"/>
      <c r="M43" s="147"/>
      <c r="N43" s="147"/>
      <c r="O43" s="147"/>
      <c r="P43" s="147"/>
      <c r="Q43" s="147"/>
      <c r="R43" s="550">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15200000</v>
      </c>
      <c r="C45" s="147">
        <f>6300000+8900000</f>
        <v>15200000</v>
      </c>
      <c r="D45" s="147"/>
      <c r="E45" s="147">
        <f>6300000+8900000</f>
        <v>15200000</v>
      </c>
      <c r="F45" s="147"/>
      <c r="G45" s="147"/>
      <c r="H45" s="147"/>
      <c r="I45" s="147"/>
      <c r="J45" s="147"/>
      <c r="K45" s="147"/>
      <c r="L45" s="147"/>
      <c r="M45" s="147"/>
      <c r="N45" s="147"/>
      <c r="O45" s="147"/>
      <c r="P45" s="147"/>
      <c r="Q45" s="147"/>
      <c r="R45" s="550">
        <f t="shared" ref="R45:R53" si="11">SUM(E45:Q45)</f>
        <v>15200000</v>
      </c>
      <c r="S45" s="147">
        <f>R45</f>
        <v>15200000</v>
      </c>
      <c r="T45" s="147"/>
      <c r="U45" s="143"/>
    </row>
    <row r="46" spans="1:21" s="144" customFormat="1">
      <c r="A46" s="145" t="s">
        <v>151</v>
      </c>
      <c r="B46" s="146">
        <f t="shared" si="10"/>
        <v>787500</v>
      </c>
      <c r="C46" s="147">
        <v>787500</v>
      </c>
      <c r="D46" s="147"/>
      <c r="E46" s="147">
        <v>787500</v>
      </c>
      <c r="F46" s="147"/>
      <c r="G46" s="147"/>
      <c r="H46" s="147"/>
      <c r="I46" s="147"/>
      <c r="J46" s="147"/>
      <c r="K46" s="147"/>
      <c r="L46" s="147"/>
      <c r="M46" s="147"/>
      <c r="N46" s="147"/>
      <c r="O46" s="147"/>
      <c r="P46" s="147"/>
      <c r="Q46" s="147"/>
      <c r="R46" s="550">
        <f t="shared" si="11"/>
        <v>787500</v>
      </c>
      <c r="S46" s="147">
        <f>R46</f>
        <v>787500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100000</v>
      </c>
      <c r="C49" s="147">
        <v>100000</v>
      </c>
      <c r="D49" s="147"/>
      <c r="E49" s="147">
        <v>100000</v>
      </c>
      <c r="F49" s="147"/>
      <c r="G49" s="147"/>
      <c r="H49" s="147"/>
      <c r="I49" s="147"/>
      <c r="J49" s="147"/>
      <c r="K49" s="147"/>
      <c r="L49" s="147"/>
      <c r="M49" s="147"/>
      <c r="N49" s="147"/>
      <c r="O49" s="147"/>
      <c r="P49" s="147"/>
      <c r="Q49" s="147"/>
      <c r="R49" s="550">
        <f t="shared" si="11"/>
        <v>100000</v>
      </c>
      <c r="S49" s="147">
        <f>R49</f>
        <v>100000</v>
      </c>
      <c r="T49" s="147"/>
      <c r="U49" s="143"/>
    </row>
    <row r="50" spans="1:21" s="144" customFormat="1">
      <c r="A50" s="145" t="s">
        <v>156</v>
      </c>
      <c r="B50" s="146">
        <f t="shared" si="10"/>
        <v>150000</v>
      </c>
      <c r="C50" s="147">
        <v>150000</v>
      </c>
      <c r="D50" s="147"/>
      <c r="E50" s="147">
        <v>150000</v>
      </c>
      <c r="F50" s="147"/>
      <c r="G50" s="147"/>
      <c r="H50" s="147"/>
      <c r="I50" s="147"/>
      <c r="J50" s="147"/>
      <c r="K50" s="147"/>
      <c r="L50" s="147"/>
      <c r="M50" s="147"/>
      <c r="N50" s="147"/>
      <c r="O50" s="147"/>
      <c r="P50" s="147"/>
      <c r="Q50" s="147"/>
      <c r="R50" s="550">
        <f t="shared" si="11"/>
        <v>150000</v>
      </c>
      <c r="S50" s="147">
        <f>R50</f>
        <v>150000</v>
      </c>
      <c r="T50" s="147"/>
      <c r="U50" s="143"/>
    </row>
    <row r="51" spans="1:21" s="144" customFormat="1">
      <c r="A51" s="304" t="s">
        <v>154</v>
      </c>
      <c r="B51" s="146">
        <f t="shared" si="10"/>
        <v>20000</v>
      </c>
      <c r="C51" s="147">
        <v>20000</v>
      </c>
      <c r="D51" s="147"/>
      <c r="E51" s="147">
        <v>20000</v>
      </c>
      <c r="F51" s="147"/>
      <c r="G51" s="147"/>
      <c r="H51" s="147"/>
      <c r="I51" s="147"/>
      <c r="J51" s="147"/>
      <c r="K51" s="147"/>
      <c r="L51" s="147"/>
      <c r="M51" s="147"/>
      <c r="N51" s="147"/>
      <c r="O51" s="147"/>
      <c r="P51" s="147"/>
      <c r="Q51" s="147"/>
      <c r="R51" s="550">
        <f t="shared" si="11"/>
        <v>20000</v>
      </c>
      <c r="S51" s="147">
        <f>R51</f>
        <v>20000</v>
      </c>
      <c r="T51" s="147"/>
      <c r="U51" s="143"/>
    </row>
    <row r="52" spans="1:21" s="144" customFormat="1">
      <c r="A52" s="145" t="s">
        <v>155</v>
      </c>
      <c r="B52" s="146">
        <f t="shared" si="10"/>
        <v>756400</v>
      </c>
      <c r="C52" s="147">
        <v>756400</v>
      </c>
      <c r="D52" s="147"/>
      <c r="E52" s="147">
        <v>756400</v>
      </c>
      <c r="F52" s="147"/>
      <c r="G52" s="147"/>
      <c r="H52" s="147"/>
      <c r="I52" s="147"/>
      <c r="J52" s="147"/>
      <c r="K52" s="147"/>
      <c r="L52" s="147"/>
      <c r="M52" s="147"/>
      <c r="N52" s="147"/>
      <c r="O52" s="147"/>
      <c r="P52" s="147"/>
      <c r="Q52" s="147"/>
      <c r="R52" s="550">
        <f t="shared" si="11"/>
        <v>756400</v>
      </c>
      <c r="S52" s="147">
        <f>R52</f>
        <v>756400</v>
      </c>
      <c r="T52" s="147"/>
      <c r="U52" s="143"/>
    </row>
    <row r="53" spans="1:21" s="144" customFormat="1">
      <c r="A53" s="1193" t="s">
        <v>2740</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17133900</v>
      </c>
      <c r="C54" s="150">
        <f t="shared" ref="C54:T54" si="12">SUM(C45:C53)</f>
        <v>17133900</v>
      </c>
      <c r="D54" s="150">
        <f t="shared" si="12"/>
        <v>0</v>
      </c>
      <c r="E54" s="150">
        <f t="shared" si="12"/>
        <v>17133900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17133900</v>
      </c>
      <c r="S54" s="150">
        <f t="shared" si="12"/>
        <v>17133900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355000</v>
      </c>
      <c r="C56" s="147">
        <v>355000</v>
      </c>
      <c r="D56" s="147"/>
      <c r="E56" s="147"/>
      <c r="F56" s="147">
        <v>355000</v>
      </c>
      <c r="G56" s="147"/>
      <c r="H56" s="147"/>
      <c r="I56" s="147"/>
      <c r="J56" s="147"/>
      <c r="K56" s="147"/>
      <c r="L56" s="147"/>
      <c r="M56" s="147"/>
      <c r="N56" s="147"/>
      <c r="O56" s="147"/>
      <c r="P56" s="147"/>
      <c r="Q56" s="147"/>
      <c r="R56" s="550">
        <f t="shared" ref="R56:R61" si="14">SUM(E56:Q56)</f>
        <v>355000</v>
      </c>
      <c r="S56" s="148"/>
      <c r="T56" s="148"/>
      <c r="U56" s="143"/>
    </row>
    <row r="57" spans="1:21" s="204" customFormat="1">
      <c r="A57" s="198" t="s">
        <v>152</v>
      </c>
      <c r="B57" s="205">
        <f t="shared" si="13"/>
        <v>15000</v>
      </c>
      <c r="C57" s="202">
        <v>15000</v>
      </c>
      <c r="D57" s="202"/>
      <c r="E57" s="202"/>
      <c r="F57" s="202">
        <v>15000</v>
      </c>
      <c r="G57" s="202"/>
      <c r="H57" s="202"/>
      <c r="I57" s="202"/>
      <c r="J57" s="202"/>
      <c r="K57" s="202"/>
      <c r="L57" s="202"/>
      <c r="M57" s="202"/>
      <c r="N57" s="202"/>
      <c r="O57" s="202"/>
      <c r="P57" s="202"/>
      <c r="Q57" s="202"/>
      <c r="R57" s="550">
        <f t="shared" si="14"/>
        <v>15000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380000</v>
      </c>
      <c r="C62" s="146">
        <f t="shared" ref="C62:R62" si="15">SUM(C56:C61)</f>
        <v>380000</v>
      </c>
      <c r="D62" s="146">
        <f t="shared" si="15"/>
        <v>0</v>
      </c>
      <c r="E62" s="146">
        <f t="shared" si="15"/>
        <v>0</v>
      </c>
      <c r="F62" s="146">
        <f t="shared" si="15"/>
        <v>380000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380000</v>
      </c>
      <c r="S62" s="148"/>
      <c r="T62" s="148"/>
      <c r="U62" s="143"/>
    </row>
    <row r="63" spans="1:21" s="144" customFormat="1">
      <c r="A63" s="154" t="s">
        <v>302</v>
      </c>
      <c r="B63" s="146">
        <f t="shared" ref="B63:R63" si="16">SUM(B8+B11+B13+B14+B15+B26+B27+B38+B42+B43+B54+B62)</f>
        <v>142644624</v>
      </c>
      <c r="C63" s="146">
        <f t="shared" si="16"/>
        <v>142644624</v>
      </c>
      <c r="D63" s="146">
        <f t="shared" si="16"/>
        <v>0</v>
      </c>
      <c r="E63" s="146">
        <f t="shared" si="16"/>
        <v>35658330</v>
      </c>
      <c r="F63" s="146">
        <f t="shared" si="16"/>
        <v>62986294</v>
      </c>
      <c r="G63" s="146">
        <f t="shared" si="16"/>
        <v>44000000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142644624</v>
      </c>
      <c r="S63" s="146">
        <f>SUM(S10+S13+S14+S15+S26+S27+S38+S42+S43+S54)</f>
        <v>137583814</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80000</v>
      </c>
      <c r="C65" s="147">
        <v>80000</v>
      </c>
      <c r="D65" s="147"/>
      <c r="E65" s="147">
        <v>80000</v>
      </c>
      <c r="F65" s="147"/>
      <c r="G65" s="147"/>
      <c r="H65" s="147"/>
      <c r="I65" s="147"/>
      <c r="J65" s="147"/>
      <c r="K65" s="147"/>
      <c r="L65" s="147"/>
      <c r="M65" s="147"/>
      <c r="N65" s="147"/>
      <c r="O65" s="147"/>
      <c r="P65" s="147"/>
      <c r="Q65" s="147"/>
      <c r="R65" s="550">
        <f>SUM(E65:Q65)</f>
        <v>80000</v>
      </c>
      <c r="S65" s="147">
        <f>R65</f>
        <v>80000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2741</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190000</v>
      </c>
      <c r="C70" s="146">
        <f>SUM(C65:C69)</f>
        <v>190000</v>
      </c>
      <c r="D70" s="146">
        <f>SUM(D65:D69)</f>
        <v>0</v>
      </c>
      <c r="E70" s="146">
        <f t="shared" ref="E70:T70" si="17">SUM(E65:E69)</f>
        <v>190000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190000</v>
      </c>
      <c r="S70" s="150">
        <f t="shared" si="17"/>
        <v>80000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2013706</v>
      </c>
      <c r="C75" s="147">
        <v>2013706</v>
      </c>
      <c r="D75" s="147"/>
      <c r="E75" s="147"/>
      <c r="F75" s="147">
        <v>2013706</v>
      </c>
      <c r="G75" s="147"/>
      <c r="H75" s="147"/>
      <c r="I75" s="147"/>
      <c r="J75" s="147"/>
      <c r="K75" s="147"/>
      <c r="L75" s="147"/>
      <c r="M75" s="147"/>
      <c r="N75" s="147"/>
      <c r="O75" s="147"/>
      <c r="P75" s="147"/>
      <c r="Q75" s="147"/>
      <c r="R75" s="550">
        <f>SUM(E75:Q75)</f>
        <v>2013706</v>
      </c>
      <c r="S75" s="148"/>
      <c r="T75" s="148"/>
      <c r="U75" s="143"/>
    </row>
    <row r="76" spans="1:21" s="144" customFormat="1">
      <c r="A76" s="1193" t="s">
        <v>2742</v>
      </c>
      <c r="B76" s="146">
        <f>SUM(C76+D76)</f>
        <v>500000</v>
      </c>
      <c r="C76" s="147">
        <v>500000</v>
      </c>
      <c r="D76" s="147"/>
      <c r="E76" s="147">
        <v>500000</v>
      </c>
      <c r="F76" s="147"/>
      <c r="G76" s="147"/>
      <c r="H76" s="147"/>
      <c r="I76" s="147"/>
      <c r="J76" s="147"/>
      <c r="K76" s="147"/>
      <c r="L76" s="147"/>
      <c r="M76" s="147"/>
      <c r="N76" s="147"/>
      <c r="O76" s="147"/>
      <c r="P76" s="147"/>
      <c r="Q76" s="147"/>
      <c r="R76" s="550">
        <f>SUM(E76:Q76)</f>
        <v>500000</v>
      </c>
      <c r="S76" s="148"/>
      <c r="T76" s="148"/>
      <c r="U76" s="143"/>
    </row>
    <row r="77" spans="1:21" s="144" customFormat="1">
      <c r="A77" s="149" t="s">
        <v>613</v>
      </c>
      <c r="B77" s="146">
        <f>SUM(C77:D77)</f>
        <v>2513706</v>
      </c>
      <c r="C77" s="146">
        <f>SUM(C72:C76)</f>
        <v>2513706</v>
      </c>
      <c r="D77" s="146">
        <f>SUM(D72:D76)</f>
        <v>0</v>
      </c>
      <c r="E77" s="146">
        <f t="shared" ref="E77:Q77" si="18">SUM(E72:E76)</f>
        <v>500000</v>
      </c>
      <c r="F77" s="146">
        <f t="shared" si="18"/>
        <v>2013706</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2513706</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5900000</v>
      </c>
      <c r="C79" s="147">
        <v>5900000</v>
      </c>
      <c r="D79" s="147"/>
      <c r="E79" s="147">
        <v>5900000</v>
      </c>
      <c r="F79" s="147"/>
      <c r="G79" s="147"/>
      <c r="H79" s="147"/>
      <c r="I79" s="147"/>
      <c r="J79" s="147"/>
      <c r="K79" s="147"/>
      <c r="L79" s="147"/>
      <c r="M79" s="147"/>
      <c r="N79" s="147"/>
      <c r="O79" s="147"/>
      <c r="P79" s="147"/>
      <c r="Q79" s="147"/>
      <c r="R79" s="550">
        <f>SUM(E79:Q79)</f>
        <v>5900000</v>
      </c>
      <c r="S79" s="147">
        <f>R79</f>
        <v>5900000</v>
      </c>
      <c r="T79" s="147"/>
      <c r="U79" s="143"/>
    </row>
    <row r="80" spans="1:21" s="144" customFormat="1">
      <c r="A80" s="304" t="s">
        <v>58</v>
      </c>
      <c r="B80" s="146">
        <f>SUM(C80:D80)</f>
        <v>900000</v>
      </c>
      <c r="C80" s="147">
        <v>900000</v>
      </c>
      <c r="D80" s="147"/>
      <c r="E80" s="147">
        <v>900000</v>
      </c>
      <c r="F80" s="147"/>
      <c r="G80" s="147"/>
      <c r="H80" s="147"/>
      <c r="I80" s="147"/>
      <c r="J80" s="147"/>
      <c r="K80" s="147"/>
      <c r="L80" s="147"/>
      <c r="M80" s="147"/>
      <c r="N80" s="147"/>
      <c r="O80" s="147"/>
      <c r="P80" s="147"/>
      <c r="Q80" s="147"/>
      <c r="R80" s="550">
        <f>SUM(E80:Q80)</f>
        <v>900000</v>
      </c>
      <c r="S80" s="147">
        <f>R80</f>
        <v>900000</v>
      </c>
      <c r="T80" s="147"/>
      <c r="U80" s="143"/>
    </row>
    <row r="81" spans="1:21" s="144" customFormat="1">
      <c r="A81" s="149" t="s">
        <v>1312</v>
      </c>
      <c r="B81" s="146">
        <f>SUM(C81:D81)</f>
        <v>6800000</v>
      </c>
      <c r="C81" s="543">
        <f>SUM(C79:C80)</f>
        <v>6800000</v>
      </c>
      <c r="D81" s="543">
        <f t="shared" ref="D81:T81" si="19">SUM(D79:D80)</f>
        <v>0</v>
      </c>
      <c r="E81" s="543">
        <f t="shared" si="19"/>
        <v>6800000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6800000</v>
      </c>
      <c r="S81" s="543">
        <f t="shared" si="19"/>
        <v>6800000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272608</v>
      </c>
      <c r="C83" s="147">
        <v>272608</v>
      </c>
      <c r="D83" s="147"/>
      <c r="E83" s="147">
        <v>272608</v>
      </c>
      <c r="F83" s="147"/>
      <c r="G83" s="147"/>
      <c r="H83" s="147"/>
      <c r="I83" s="147"/>
      <c r="J83" s="147"/>
      <c r="K83" s="147"/>
      <c r="L83" s="147"/>
      <c r="M83" s="147"/>
      <c r="N83" s="147"/>
      <c r="O83" s="147"/>
      <c r="P83" s="147"/>
      <c r="Q83" s="147"/>
      <c r="R83" s="550">
        <f t="shared" ref="R83:R95" si="21">SUM(E83:Q83)</f>
        <v>272608</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18666685</v>
      </c>
      <c r="C85" s="147">
        <v>18666685</v>
      </c>
      <c r="D85" s="147"/>
      <c r="E85" s="147">
        <v>18666685</v>
      </c>
      <c r="F85" s="147"/>
      <c r="G85" s="147"/>
      <c r="H85" s="147"/>
      <c r="I85" s="147"/>
      <c r="J85" s="147"/>
      <c r="K85" s="147"/>
      <c r="L85" s="147"/>
      <c r="M85" s="147"/>
      <c r="N85" s="147"/>
      <c r="O85" s="147"/>
      <c r="P85" s="147"/>
      <c r="Q85" s="147"/>
      <c r="R85" s="550">
        <f t="shared" si="21"/>
        <v>18666685</v>
      </c>
      <c r="S85" s="147">
        <f>R85</f>
        <v>18666685</v>
      </c>
      <c r="T85" s="147"/>
      <c r="U85" s="143"/>
    </row>
    <row r="86" spans="1:21" s="144" customFormat="1">
      <c r="A86" s="145" t="s">
        <v>776</v>
      </c>
      <c r="B86" s="146">
        <f t="shared" si="20"/>
        <v>1000000</v>
      </c>
      <c r="C86" s="147">
        <v>1000000</v>
      </c>
      <c r="D86" s="147"/>
      <c r="E86" s="147">
        <v>1000000</v>
      </c>
      <c r="F86" s="147"/>
      <c r="G86" s="147"/>
      <c r="H86" s="147"/>
      <c r="I86" s="147"/>
      <c r="J86" s="147"/>
      <c r="K86" s="147"/>
      <c r="L86" s="147"/>
      <c r="M86" s="147"/>
      <c r="N86" s="147"/>
      <c r="O86" s="147"/>
      <c r="P86" s="147"/>
      <c r="Q86" s="147"/>
      <c r="R86" s="550">
        <f t="shared" si="21"/>
        <v>1000000</v>
      </c>
      <c r="S86" s="147">
        <f>R86</f>
        <v>1000000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192527</v>
      </c>
      <c r="C88" s="147">
        <v>192527</v>
      </c>
      <c r="D88" s="147"/>
      <c r="E88" s="147">
        <v>192527</v>
      </c>
      <c r="F88" s="147"/>
      <c r="G88" s="147"/>
      <c r="H88" s="147"/>
      <c r="I88" s="147"/>
      <c r="J88" s="147"/>
      <c r="K88" s="147"/>
      <c r="L88" s="147"/>
      <c r="M88" s="147"/>
      <c r="N88" s="147"/>
      <c r="O88" s="147"/>
      <c r="P88" s="147"/>
      <c r="Q88" s="147"/>
      <c r="R88" s="550">
        <f t="shared" si="21"/>
        <v>192527</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20221820</v>
      </c>
      <c r="C96" s="146">
        <f t="shared" ref="C96:R96" si="22">SUM(C83:C95)</f>
        <v>20221820</v>
      </c>
      <c r="D96" s="146">
        <f t="shared" si="22"/>
        <v>0</v>
      </c>
      <c r="E96" s="146">
        <f t="shared" si="22"/>
        <v>20221820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20221820</v>
      </c>
      <c r="S96" s="150">
        <f>SUM(S84:S87,S89:S95)</f>
        <v>19756685</v>
      </c>
      <c r="T96" s="146">
        <f>SUM(T84:T87,T89:T95)</f>
        <v>0</v>
      </c>
      <c r="U96" s="143"/>
    </row>
    <row r="97" spans="1:21" s="144" customFormat="1">
      <c r="A97" s="149" t="s">
        <v>782</v>
      </c>
      <c r="B97" s="146">
        <f>SUM(C97:D97)</f>
        <v>172370150</v>
      </c>
      <c r="C97" s="146">
        <f t="shared" ref="C97:R97" si="23">SUM(C63+C70+C77+C81+C96)</f>
        <v>172370150</v>
      </c>
      <c r="D97" s="146">
        <f t="shared" si="23"/>
        <v>0</v>
      </c>
      <c r="E97" s="146">
        <f t="shared" si="23"/>
        <v>63370150</v>
      </c>
      <c r="F97" s="146">
        <f t="shared" si="23"/>
        <v>65000000</v>
      </c>
      <c r="G97" s="146">
        <f t="shared" si="23"/>
        <v>44000000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172370150</v>
      </c>
      <c r="S97" s="146">
        <f>SUM(S63+S70+S81+S96)</f>
        <v>164220499</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24400000</v>
      </c>
      <c r="C99" s="1014">
        <v>24400000</v>
      </c>
      <c r="D99" s="1014"/>
      <c r="E99" s="1014"/>
      <c r="F99" s="147">
        <v>6000000</v>
      </c>
      <c r="G99" s="147"/>
      <c r="H99" s="147">
        <v>18400000</v>
      </c>
      <c r="I99" s="147"/>
      <c r="J99" s="147"/>
      <c r="K99" s="147"/>
      <c r="L99" s="147"/>
      <c r="M99" s="147"/>
      <c r="N99" s="147"/>
      <c r="O99" s="147"/>
      <c r="P99" s="147"/>
      <c r="Q99" s="147"/>
      <c r="R99" s="550">
        <f>SUM(E99:Q99)</f>
        <v>24400000</v>
      </c>
      <c r="S99" s="147">
        <f>R99</f>
        <v>24400000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24400000</v>
      </c>
      <c r="C104" s="146">
        <f>SUM(C99:C103)</f>
        <v>24400000</v>
      </c>
      <c r="D104" s="146">
        <f t="shared" ref="D104:T104" si="24">SUM(D99:D103)</f>
        <v>0</v>
      </c>
      <c r="E104" s="146">
        <f t="shared" si="24"/>
        <v>0</v>
      </c>
      <c r="F104" s="146">
        <f t="shared" si="24"/>
        <v>6000000</v>
      </c>
      <c r="G104" s="146">
        <f t="shared" si="24"/>
        <v>0</v>
      </c>
      <c r="H104" s="146">
        <f t="shared" si="24"/>
        <v>18400000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24400000</v>
      </c>
      <c r="S104" s="150">
        <f t="shared" si="24"/>
        <v>24400000</v>
      </c>
      <c r="T104" s="150">
        <f t="shared" si="24"/>
        <v>0</v>
      </c>
      <c r="U104" s="143"/>
    </row>
    <row r="105" spans="1:21" s="144" customFormat="1">
      <c r="A105" s="149" t="s">
        <v>787</v>
      </c>
      <c r="B105" s="150">
        <f>SUM(C105:D105)</f>
        <v>196770150</v>
      </c>
      <c r="C105" s="150">
        <f t="shared" ref="C105:R105" si="25">SUM(C97+C104)</f>
        <v>196770150</v>
      </c>
      <c r="D105" s="150">
        <f t="shared" si="25"/>
        <v>0</v>
      </c>
      <c r="E105" s="150">
        <f t="shared" si="25"/>
        <v>63370150</v>
      </c>
      <c r="F105" s="150">
        <f t="shared" si="25"/>
        <v>71000000</v>
      </c>
      <c r="G105" s="150">
        <f t="shared" si="25"/>
        <v>44000000</v>
      </c>
      <c r="H105" s="150">
        <f t="shared" si="25"/>
        <v>18400000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196770150</v>
      </c>
      <c r="S105" s="150">
        <f>S97+S104</f>
        <v>188620499</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188620499</v>
      </c>
      <c r="T107" s="150">
        <f>T105+T106</f>
        <v>0</v>
      </c>
    </row>
    <row r="108" spans="1:21" s="201" customFormat="1">
      <c r="A108" s="162" t="s">
        <v>889</v>
      </c>
      <c r="B108" s="157"/>
      <c r="C108" s="157"/>
      <c r="D108" s="157"/>
      <c r="E108" s="323">
        <f>Application!AO640</f>
        <v>63370150</v>
      </c>
      <c r="F108" s="323">
        <f>Application!AO627</f>
        <v>71000000</v>
      </c>
      <c r="G108" s="323">
        <f>Application!AO628</f>
        <v>44000000</v>
      </c>
      <c r="H108" s="323">
        <f>Application!AO629</f>
        <v>18400000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2" t="s">
        <v>1011</v>
      </c>
      <c r="E122" s="1872"/>
      <c r="F122" s="1872"/>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74" t="s">
        <v>1328</v>
      </c>
      <c r="E123" s="1792"/>
      <c r="F123" s="1792"/>
      <c r="G123" s="1792"/>
      <c r="H123" s="1792"/>
      <c r="I123" s="1792"/>
      <c r="J123" s="1792"/>
      <c r="K123" s="1792"/>
      <c r="L123" s="1792"/>
      <c r="M123" s="1792"/>
      <c r="N123" s="1792"/>
      <c r="O123" s="1792"/>
      <c r="P123" s="1792"/>
      <c r="Q123" s="1792"/>
      <c r="R123" s="1792"/>
      <c r="S123" s="1792"/>
      <c r="T123" s="352"/>
      <c r="U123" s="354"/>
    </row>
    <row r="124" spans="1:21" ht="12.45">
      <c r="A124" s="117" t="s">
        <v>1013</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45">
      <c r="A125" s="117" t="s">
        <v>1014</v>
      </c>
      <c r="B125" s="361"/>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45">
      <c r="A129" s="117" t="s">
        <v>300</v>
      </c>
      <c r="B129" s="361"/>
      <c r="C129" s="117"/>
      <c r="D129" s="1871" t="s">
        <v>1018</v>
      </c>
      <c r="E129" s="1871"/>
      <c r="F129" s="1871"/>
      <c r="G129" s="1871"/>
      <c r="H129" s="1871"/>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05" customHeight="1">
      <c r="A132" s="364"/>
      <c r="B132" s="117"/>
      <c r="C132" s="117"/>
      <c r="D132" s="1875" t="s">
        <v>1021</v>
      </c>
      <c r="E132" s="1875"/>
      <c r="F132" s="1875"/>
      <c r="G132" s="1875"/>
      <c r="H132" s="1875"/>
      <c r="I132" s="117"/>
      <c r="J132" s="1875" t="s">
        <v>1022</v>
      </c>
      <c r="K132" s="1875"/>
      <c r="L132" s="1875"/>
      <c r="M132" s="1875"/>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95">
      <c r="A139" s="1873" t="s">
        <v>1025</v>
      </c>
      <c r="B139" s="1873"/>
      <c r="C139" s="1873"/>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4378535</v>
      </c>
      <c r="C4" s="393"/>
      <c r="D4" s="393"/>
      <c r="E4" s="394"/>
      <c r="F4" s="394"/>
      <c r="G4" s="394"/>
      <c r="H4" s="394"/>
      <c r="I4" s="394"/>
      <c r="J4" s="394"/>
      <c r="K4" s="390"/>
    </row>
    <row r="5" spans="1:11" s="391" customFormat="1">
      <c r="A5" s="395" t="s">
        <v>28</v>
      </c>
      <c r="B5" s="392">
        <f>'Sources and Uses Budget'!C5</f>
        <v>297275</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4680810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183200</v>
      </c>
      <c r="C10" s="393"/>
      <c r="D10" s="393"/>
      <c r="E10" s="392">
        <f>'Sources and Uses Budget'!S10</f>
        <v>183200</v>
      </c>
      <c r="F10" s="393"/>
      <c r="G10" s="393"/>
      <c r="H10" s="392">
        <f>'Sources and Uses Budget'!T10</f>
        <v>0</v>
      </c>
      <c r="I10" s="393"/>
      <c r="J10" s="393"/>
      <c r="K10" s="390"/>
    </row>
    <row r="11" spans="1:11" s="391" customFormat="1">
      <c r="A11" s="396" t="s">
        <v>603</v>
      </c>
      <c r="B11" s="392">
        <f>'Sources and Uses Budget'!C11</f>
        <v>183200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4864010</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3848000</v>
      </c>
      <c r="C29" s="393"/>
      <c r="D29" s="393"/>
      <c r="E29" s="392">
        <f>'Sources and Uses Budget'!S29</f>
        <v>3848000</v>
      </c>
      <c r="F29" s="393"/>
      <c r="G29" s="393"/>
      <c r="H29" s="392">
        <f>'Sources and Uses Budget'!T29</f>
        <v>0</v>
      </c>
      <c r="I29" s="393"/>
      <c r="J29" s="393"/>
      <c r="K29" s="390"/>
    </row>
    <row r="30" spans="1:11" s="391" customFormat="1">
      <c r="A30" s="145" t="s">
        <v>606</v>
      </c>
      <c r="B30" s="392">
        <f>'Sources and Uses Budget'!C30</f>
        <v>98921206</v>
      </c>
      <c r="C30" s="393"/>
      <c r="D30" s="393"/>
      <c r="E30" s="392">
        <f>'Sources and Uses Budget'!S30</f>
        <v>98921206</v>
      </c>
      <c r="F30" s="393"/>
      <c r="G30" s="393"/>
      <c r="H30" s="392">
        <f>'Sources and Uses Budget'!T30</f>
        <v>0</v>
      </c>
      <c r="I30" s="393"/>
      <c r="J30" s="393"/>
      <c r="K30" s="390"/>
    </row>
    <row r="31" spans="1:11" s="391" customFormat="1">
      <c r="A31" s="145" t="s">
        <v>607</v>
      </c>
      <c r="B31" s="392">
        <f>'Sources and Uses Budget'!C31</f>
        <v>6177144</v>
      </c>
      <c r="C31" s="393"/>
      <c r="D31" s="393"/>
      <c r="E31" s="392">
        <f>'Sources and Uses Budget'!S31</f>
        <v>6177144</v>
      </c>
      <c r="F31" s="393"/>
      <c r="G31" s="393"/>
      <c r="H31" s="392">
        <f>'Sources and Uses Budget'!T31</f>
        <v>0</v>
      </c>
      <c r="I31" s="393"/>
      <c r="J31" s="393"/>
      <c r="K31" s="390"/>
    </row>
    <row r="32" spans="1:11" s="391" customFormat="1">
      <c r="A32" s="145" t="s">
        <v>137</v>
      </c>
      <c r="B32" s="392">
        <f>'Sources and Uses Budget'!C32</f>
        <v>2182591</v>
      </c>
      <c r="C32" s="393"/>
      <c r="D32" s="393"/>
      <c r="E32" s="392">
        <f>'Sources and Uses Budget'!S32</f>
        <v>2182591</v>
      </c>
      <c r="F32" s="393"/>
      <c r="G32" s="393"/>
      <c r="H32" s="392">
        <f>'Sources and Uses Budget'!T32</f>
        <v>0</v>
      </c>
      <c r="I32" s="393"/>
      <c r="J32" s="393"/>
      <c r="K32" s="390"/>
    </row>
    <row r="33" spans="1:11" s="391" customFormat="1">
      <c r="A33" s="145" t="s">
        <v>138</v>
      </c>
      <c r="B33" s="392">
        <f>'Sources and Uses Budget'!C33</f>
        <v>6547773</v>
      </c>
      <c r="C33" s="393"/>
      <c r="D33" s="393"/>
      <c r="E33" s="392">
        <f>'Sources and Uses Budget'!S33</f>
        <v>6547773</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1100000</v>
      </c>
      <c r="C35" s="393"/>
      <c r="D35" s="393"/>
      <c r="E35" s="392">
        <f>'Sources and Uses Budget'!S35</f>
        <v>1100000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118776714</v>
      </c>
      <c r="C38" s="392">
        <f>SUM(C29:C37)</f>
        <v>0</v>
      </c>
      <c r="D38" s="392">
        <f>SUM(D29:D37)</f>
        <v>0</v>
      </c>
      <c r="E38" s="392">
        <f>'Sources and Uses Budget'!S38</f>
        <v>118776714</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15200000</v>
      </c>
      <c r="C45" s="393"/>
      <c r="D45" s="393"/>
      <c r="E45" s="392">
        <f>'Sources and Uses Budget'!S45</f>
        <v>15200000</v>
      </c>
      <c r="F45" s="393"/>
      <c r="G45" s="393"/>
      <c r="H45" s="392">
        <f>'Sources and Uses Budget'!T45</f>
        <v>0</v>
      </c>
      <c r="I45" s="393"/>
      <c r="J45" s="393"/>
      <c r="K45" s="390"/>
    </row>
    <row r="46" spans="1:11" s="391" customFormat="1">
      <c r="A46" s="395" t="s">
        <v>151</v>
      </c>
      <c r="B46" s="392">
        <f>'Sources and Uses Budget'!C46</f>
        <v>787500</v>
      </c>
      <c r="C46" s="393"/>
      <c r="D46" s="393"/>
      <c r="E46" s="392">
        <f>'Sources and Uses Budget'!S46</f>
        <v>787500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100000</v>
      </c>
      <c r="C49" s="393"/>
      <c r="D49" s="393"/>
      <c r="E49" s="392">
        <f>'Sources and Uses Budget'!S49</f>
        <v>100000</v>
      </c>
      <c r="F49" s="393"/>
      <c r="G49" s="393"/>
      <c r="H49" s="392">
        <f>'Sources and Uses Budget'!T49</f>
        <v>0</v>
      </c>
      <c r="I49" s="393"/>
      <c r="J49" s="393"/>
      <c r="K49" s="390"/>
    </row>
    <row r="50" spans="1:11" s="391" customFormat="1">
      <c r="A50" s="395" t="s">
        <v>156</v>
      </c>
      <c r="B50" s="392">
        <f>'Sources and Uses Budget'!C50</f>
        <v>150000</v>
      </c>
      <c r="C50" s="393"/>
      <c r="D50" s="393"/>
      <c r="E50" s="392">
        <f>'Sources and Uses Budget'!S50</f>
        <v>150000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756400</v>
      </c>
      <c r="C52" s="393"/>
      <c r="D52" s="393"/>
      <c r="E52" s="392">
        <f>'Sources and Uses Budget'!S52</f>
        <v>756400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17133900</v>
      </c>
      <c r="C54" s="398">
        <f>SUM(C45:C53)</f>
        <v>0</v>
      </c>
      <c r="D54" s="398">
        <f>SUM(D45:D53)</f>
        <v>0</v>
      </c>
      <c r="E54" s="392">
        <f>'Sources and Uses Budget'!S54</f>
        <v>17133900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355000</v>
      </c>
      <c r="C56" s="393"/>
      <c r="D56" s="393"/>
      <c r="E56" s="394"/>
      <c r="F56" s="394"/>
      <c r="G56" s="394"/>
      <c r="H56" s="394"/>
      <c r="I56" s="394"/>
      <c r="J56" s="394"/>
      <c r="K56" s="390"/>
    </row>
    <row r="57" spans="1:11" s="391" customFormat="1" ht="12.05"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380000</v>
      </c>
      <c r="C62" s="392">
        <f>SUM(C56:C61)</f>
        <v>0</v>
      </c>
      <c r="D62" s="392">
        <f>SUM(D56:D61)</f>
        <v>0</v>
      </c>
      <c r="E62" s="394"/>
      <c r="F62" s="394"/>
      <c r="G62" s="394"/>
      <c r="H62" s="394"/>
      <c r="I62" s="394"/>
      <c r="J62" s="394"/>
      <c r="K62" s="390"/>
    </row>
    <row r="63" spans="1:11" s="391" customFormat="1">
      <c r="A63" s="401" t="s">
        <v>302</v>
      </c>
      <c r="B63" s="392">
        <f>'Sources and Uses Budget'!C63</f>
        <v>142644624</v>
      </c>
      <c r="C63" s="392">
        <f>SUM(C8+C11+C13+C14+C15+C26+C27+C38+C42+C43+C54+C62)</f>
        <v>0</v>
      </c>
      <c r="D63" s="392">
        <f>SUM(D8+D11+D13+D14+D15+D26+D27+D38+D42+D43+D54+D62)</f>
        <v>0</v>
      </c>
      <c r="E63" s="392">
        <f>'Sources and Uses Budget'!S63</f>
        <v>137583814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80000</v>
      </c>
      <c r="C65" s="393"/>
      <c r="D65" s="393"/>
      <c r="E65" s="392">
        <f>'Sources and Uses Budget'!S65</f>
        <v>80000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190000</v>
      </c>
      <c r="C70" s="392">
        <f>SUM(C64:C69)</f>
        <v>0</v>
      </c>
      <c r="D70" s="392">
        <f>SUM(D64:D69)</f>
        <v>0</v>
      </c>
      <c r="E70" s="392">
        <f>'Sources and Uses Budget'!S70</f>
        <v>80000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2013706</v>
      </c>
      <c r="C75" s="393"/>
      <c r="D75" s="393"/>
      <c r="E75" s="394"/>
      <c r="F75" s="394"/>
      <c r="G75" s="394"/>
      <c r="H75" s="394"/>
      <c r="I75" s="394"/>
      <c r="J75" s="394"/>
      <c r="K75" s="390"/>
    </row>
    <row r="76" spans="1:11" s="391" customFormat="1">
      <c r="A76" s="395" t="str">
        <f>'Sources and Uses Budget'!$A76</f>
        <v>Post Construction Interest Reserve</v>
      </c>
      <c r="B76" s="392">
        <f>'Sources and Uses Budget'!C76</f>
        <v>500000</v>
      </c>
      <c r="C76" s="393"/>
      <c r="D76" s="393"/>
      <c r="E76" s="394"/>
      <c r="F76" s="394"/>
      <c r="G76" s="394"/>
      <c r="H76" s="394"/>
      <c r="I76" s="394"/>
      <c r="J76" s="394"/>
      <c r="K76" s="390"/>
    </row>
    <row r="77" spans="1:11" s="391" customFormat="1">
      <c r="A77" s="396" t="s">
        <v>613</v>
      </c>
      <c r="B77" s="392">
        <f>'Sources and Uses Budget'!C77</f>
        <v>2513706</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5900000</v>
      </c>
      <c r="C79" s="393"/>
      <c r="D79" s="393"/>
      <c r="E79" s="392">
        <f>'Sources and Uses Budget'!S79</f>
        <v>5900000</v>
      </c>
      <c r="F79" s="393"/>
      <c r="G79" s="393"/>
      <c r="H79" s="392">
        <f>'Sources and Uses Budget'!T79</f>
        <v>0</v>
      </c>
      <c r="I79" s="393"/>
      <c r="J79" s="393"/>
      <c r="K79" s="390"/>
    </row>
    <row r="80" spans="1:11" s="391" customFormat="1">
      <c r="A80" s="395" t="s">
        <v>58</v>
      </c>
      <c r="B80" s="392">
        <f>'Sources and Uses Budget'!C80</f>
        <v>900000</v>
      </c>
      <c r="C80" s="393"/>
      <c r="D80" s="393"/>
      <c r="E80" s="392">
        <f>'Sources and Uses Budget'!S80</f>
        <v>900000</v>
      </c>
      <c r="F80" s="393"/>
      <c r="G80" s="393"/>
      <c r="H80" s="392">
        <f>'Sources and Uses Budget'!T80</f>
        <v>0</v>
      </c>
      <c r="I80" s="393"/>
      <c r="J80" s="393"/>
      <c r="K80" s="390"/>
    </row>
    <row r="81" spans="1:11" s="391" customFormat="1">
      <c r="A81" s="396" t="s">
        <v>1312</v>
      </c>
      <c r="B81" s="392">
        <f>'Sources and Uses Budget'!C81</f>
        <v>6800000</v>
      </c>
      <c r="C81" s="392">
        <f>SUM(C79:C80)</f>
        <v>0</v>
      </c>
      <c r="D81" s="392">
        <f>SUM(D79:D80)</f>
        <v>0</v>
      </c>
      <c r="E81" s="392">
        <f>'Sources and Uses Budget'!S81</f>
        <v>6800000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272608</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18666685</v>
      </c>
      <c r="C85" s="393"/>
      <c r="D85" s="393"/>
      <c r="E85" s="392">
        <f>'Sources and Uses Budget'!S85</f>
        <v>18666685</v>
      </c>
      <c r="F85" s="393"/>
      <c r="G85" s="393"/>
      <c r="H85" s="392">
        <f>'Sources and Uses Budget'!T85</f>
        <v>0</v>
      </c>
      <c r="I85" s="393"/>
      <c r="J85" s="393"/>
      <c r="K85" s="390"/>
    </row>
    <row r="86" spans="1:11" s="391" customFormat="1">
      <c r="A86" s="145" t="s">
        <v>776</v>
      </c>
      <c r="B86" s="392">
        <f>'Sources and Uses Budget'!C86</f>
        <v>1000000</v>
      </c>
      <c r="C86" s="393"/>
      <c r="D86" s="393"/>
      <c r="E86" s="392">
        <f>'Sources and Uses Budget'!S86</f>
        <v>1000000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192527</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20221820</v>
      </c>
      <c r="C96" s="392">
        <f>SUM(C83:C95)</f>
        <v>0</v>
      </c>
      <c r="D96" s="392">
        <f>SUM(D83:D95)</f>
        <v>0</v>
      </c>
      <c r="E96" s="392">
        <f>'Sources and Uses Budget'!S96</f>
        <v>19756685</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172370150</v>
      </c>
      <c r="C97" s="392">
        <f>SUM(C63+C70+C77+C81+C96)</f>
        <v>0</v>
      </c>
      <c r="D97" s="392">
        <f>SUM(D63+D70+D77+D81+D96)</f>
        <v>0</v>
      </c>
      <c r="E97" s="392">
        <f>'Sources and Uses Budget'!S97</f>
        <v>164220499</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24400000</v>
      </c>
      <c r="C99" s="393"/>
      <c r="D99" s="393"/>
      <c r="E99" s="392">
        <f>'Sources and Uses Budget'!S99</f>
        <v>24400000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24400000</v>
      </c>
      <c r="C104" s="392">
        <f>SUM(C99:C103)</f>
        <v>0</v>
      </c>
      <c r="D104" s="392">
        <f>SUM(D99:D103)</f>
        <v>0</v>
      </c>
      <c r="E104" s="392">
        <f>'Sources and Uses Budget'!S104</f>
        <v>24400000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196770150</v>
      </c>
      <c r="C105" s="398">
        <f>SUM(C97+C104)</f>
        <v>0</v>
      </c>
      <c r="D105" s="398">
        <f>SUM(D97+D104)</f>
        <v>0</v>
      </c>
      <c r="E105" s="392">
        <f>'Sources and Uses Budget'!S105</f>
        <v>188620499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188620499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T739" sqref="T739"/>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4" t="s">
        <v>1406</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1411</v>
      </c>
      <c r="AF7" s="1898"/>
      <c r="AG7" s="1898"/>
      <c r="AH7" s="1898"/>
      <c r="AI7" s="1898"/>
      <c r="AJ7" s="1898"/>
      <c r="AK7" s="1898"/>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8" t="s">
        <v>598</v>
      </c>
      <c r="C13" s="1888"/>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8" t="s">
        <v>598</v>
      </c>
      <c r="C16" s="1888"/>
      <c r="D16" s="581"/>
      <c r="E16" s="1899" t="s">
        <v>1413</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1414</v>
      </c>
    </row>
    <row r="18" spans="1:42" s="570" customFormat="1" ht="12.7"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8" t="s">
        <v>598</v>
      </c>
      <c r="C22" s="1888"/>
      <c r="D22" s="581"/>
      <c r="E22" s="1921" t="s">
        <v>1416</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1414</v>
      </c>
    </row>
    <row r="23" spans="1:42" s="570" customFormat="1" ht="12.7"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8" t="s">
        <v>598</v>
      </c>
      <c r="C25" s="1888"/>
      <c r="D25" s="581"/>
      <c r="E25" s="1889" t="s">
        <v>2343</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1414</v>
      </c>
    </row>
    <row r="26" spans="1:42" s="570" customFormat="1" ht="12.7"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1888" t="s">
        <v>598</v>
      </c>
      <c r="C30" s="1888"/>
      <c r="D30" s="581"/>
      <c r="E30" s="1921" t="s">
        <v>2315</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8" t="s">
        <v>598</v>
      </c>
      <c r="C33" s="1888"/>
      <c r="D33" s="581"/>
      <c r="E33" s="1889" t="s">
        <v>2316</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8" t="s">
        <v>598</v>
      </c>
      <c r="C39" s="1888"/>
      <c r="D39" s="1186"/>
      <c r="E39" s="1889" t="s">
        <v>2317</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8" t="s">
        <v>598</v>
      </c>
      <c r="C46" s="1888"/>
      <c r="D46" s="574"/>
      <c r="E46" s="1889" t="s">
        <v>2322</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8" t="s">
        <v>598</v>
      </c>
      <c r="C50" s="1888"/>
      <c r="D50" s="574"/>
      <c r="E50" s="1909" t="s">
        <v>2323</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8" t="s">
        <v>598</v>
      </c>
      <c r="C52" s="1888"/>
      <c r="D52" s="574"/>
      <c r="E52" s="1889" t="s">
        <v>2324</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1918">
        <f>AO36</f>
        <v>0</v>
      </c>
      <c r="AL56" s="1919"/>
      <c r="AM56" s="192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1420</v>
      </c>
      <c r="AF59" s="1898"/>
      <c r="AG59" s="1898"/>
      <c r="AH59" s="1898"/>
      <c r="AI59" s="1898"/>
      <c r="AJ59" s="1898"/>
      <c r="AK59" s="1898"/>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8" t="s">
        <v>598</v>
      </c>
      <c r="C62" s="1888"/>
      <c r="D62" s="581" t="s">
        <v>1421</v>
      </c>
      <c r="E62" s="1899" t="s">
        <v>2325</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10</v>
      </c>
    </row>
    <row r="64" spans="1:50" s="570" customFormat="1" ht="12.7"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1422</v>
      </c>
    </row>
    <row r="66" spans="1:42" s="570" customFormat="1" ht="12.7"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8" t="s">
        <v>552</v>
      </c>
      <c r="C68" s="1888"/>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8" t="s">
        <v>552</v>
      </c>
      <c r="F69" s="1888"/>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6" t="s">
        <v>598</v>
      </c>
      <c r="F70" s="1887"/>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6" t="s">
        <v>598</v>
      </c>
      <c r="F71" s="1887"/>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8" t="s">
        <v>598</v>
      </c>
      <c r="F73" s="1888"/>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8" t="s">
        <v>598</v>
      </c>
      <c r="C75" s="1888"/>
      <c r="D75" s="581" t="s">
        <v>1426</v>
      </c>
      <c r="E75" s="1889" t="s">
        <v>1925</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1918">
        <f>IF(AK56&gt;0,0,AO65)</f>
        <v>10</v>
      </c>
      <c r="AL78" s="1919"/>
      <c r="AM78" s="192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1411</v>
      </c>
      <c r="AF81" s="1898"/>
      <c r="AG81" s="1898"/>
      <c r="AH81" s="1898"/>
      <c r="AI81" s="1898"/>
      <c r="AJ81" s="1898"/>
      <c r="AK81" s="1898"/>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8" t="s">
        <v>598</v>
      </c>
      <c r="C84" s="1888"/>
      <c r="D84" s="581" t="s">
        <v>1421</v>
      </c>
      <c r="E84" s="1899" t="s">
        <v>1431</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2">
        <f>Application!AC753</f>
        <v>0.5991596638655462</v>
      </c>
      <c r="F87" s="1883"/>
      <c r="G87" s="1883"/>
      <c r="H87" s="1883"/>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4">
        <f>0.6-ROUNDUP(E87,2)</f>
        <v>0</v>
      </c>
      <c r="F88" s="1885"/>
      <c r="G88" s="1885"/>
      <c r="H88" s="1885"/>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2">
        <f>IF(E88*200&gt;20,20,E88*200)</f>
        <v>0</v>
      </c>
      <c r="F89" s="1913"/>
      <c r="G89" s="1913"/>
      <c r="H89" s="1913"/>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8" t="s">
        <v>552</v>
      </c>
      <c r="C92" s="1888"/>
      <c r="D92" s="581" t="s">
        <v>1423</v>
      </c>
      <c r="E92" s="1899" t="s">
        <v>1910</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2">
        <f>Application!AC753</f>
        <v>0.5991596638655462</v>
      </c>
      <c r="F97" s="1883"/>
      <c r="G97" s="1883"/>
      <c r="H97" s="1883"/>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2">
        <f ca="1">SUMIF(Application!AC718:AG752,0.2,Application!G718:J752)/Application!G753+SUMIF(Application!AC718:AG752,0.25,Application!G718:J752)/Application!G753+SUMIF(Application!AC718:AG752,0.3,Application!G718:J752)/Application!G753</f>
        <v>0.10504201680672269</v>
      </c>
      <c r="F98" s="1883"/>
      <c r="G98" s="1883"/>
      <c r="H98" s="1883"/>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0.10504201680672269</v>
      </c>
      <c r="F99" s="1883"/>
      <c r="G99" s="1883"/>
      <c r="H99" s="1883"/>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7">
        <f ca="1">IF(AND(E97&lt;=0.6,OR(AND(E98&gt;=0.1,E99&gt;=0.1),AND(E98&gt;0.1,(E98+E99)&gt;=0.2))),20,0)</f>
        <v>20</v>
      </c>
      <c r="F100" s="1938"/>
      <c r="G100" s="1938"/>
      <c r="H100" s="1938"/>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1918">
        <f ca="1">MAX(AP89,AP100)</f>
        <v>20</v>
      </c>
      <c r="AL103" s="1919"/>
      <c r="AM103" s="192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1420</v>
      </c>
      <c r="AF106" s="1898"/>
      <c r="AG106" s="1898"/>
      <c r="AH106" s="1898"/>
      <c r="AI106" s="1898"/>
      <c r="AJ106" s="1898"/>
      <c r="AK106" s="1898"/>
      <c r="AL106" s="574"/>
      <c r="AM106" s="574"/>
      <c r="AN106" s="569"/>
      <c r="AO106" s="570" t="str">
        <f>Application!B718</f>
        <v>1 Bedroom</v>
      </c>
      <c r="AQ106" s="570">
        <f>Application!O718</f>
        <v>765</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1349</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1641</v>
      </c>
    </row>
    <row r="109" spans="1:49" s="570" customFormat="1" ht="12.7" customHeight="1">
      <c r="A109" s="574"/>
      <c r="B109" s="1888" t="s">
        <v>552</v>
      </c>
      <c r="C109" s="1888"/>
      <c r="D109" s="581" t="s">
        <v>1421</v>
      </c>
      <c r="E109" s="1899" t="s">
        <v>2044</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1 Bedroom</v>
      </c>
      <c r="AQ109" s="570">
        <f>Application!O721</f>
        <v>1933</v>
      </c>
      <c r="AU109" s="570" t="s">
        <v>2026</v>
      </c>
      <c r="AV109" s="629" t="s">
        <v>2027</v>
      </c>
      <c r="AW109" s="570" t="s">
        <v>2028</v>
      </c>
    </row>
    <row r="110" spans="1:49" s="570" customFormat="1" ht="12.7"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f>Application!B723</f>
        <v>0</v>
      </c>
      <c r="AQ111" s="570">
        <f>Application!O723</f>
        <v>0</v>
      </c>
      <c r="AU111" s="890" t="str">
        <f>J118</f>
        <v>1-bedroom</v>
      </c>
      <c r="AV111" s="570">
        <f t="array" ref="AV111">SUM(IF(Application!B718:F752="1 Bedroom",Application!G718:J752))</f>
        <v>476</v>
      </c>
      <c r="AW111" s="1046">
        <f>AV111/AV116</f>
        <v>1</v>
      </c>
    </row>
    <row r="112" spans="1:49" s="570" customFormat="1" ht="12.7"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f>Application!B728</f>
        <v>0</v>
      </c>
      <c r="AQ116" s="570">
        <f>Application!O728</f>
        <v>0</v>
      </c>
      <c r="AV116" s="570">
        <f>SUM(AV110:AV115)</f>
        <v>476</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 customHeight="1">
      <c r="A118" s="574"/>
      <c r="B118" s="573"/>
      <c r="C118" s="574"/>
      <c r="D118" s="574"/>
      <c r="E118" s="1882" t="s">
        <v>1695</v>
      </c>
      <c r="F118" s="1883"/>
      <c r="G118" s="1883"/>
      <c r="H118" s="1883"/>
      <c r="I118" s="611"/>
      <c r="J118" s="1883" t="s">
        <v>1739</v>
      </c>
      <c r="K118" s="1883"/>
      <c r="L118" s="1883"/>
      <c r="M118" s="1883"/>
      <c r="N118" s="611"/>
      <c r="O118" s="1883" t="s">
        <v>1740</v>
      </c>
      <c r="P118" s="1883"/>
      <c r="Q118" s="1883"/>
      <c r="R118" s="1883"/>
      <c r="S118" s="611"/>
      <c r="T118" s="1883" t="s">
        <v>1440</v>
      </c>
      <c r="U118" s="1883"/>
      <c r="V118" s="1883"/>
      <c r="W118" s="1883"/>
      <c r="X118" s="611"/>
      <c r="Y118" s="1883" t="s">
        <v>1741</v>
      </c>
      <c r="Z118" s="1883"/>
      <c r="AA118" s="1883"/>
      <c r="AB118" s="1883"/>
      <c r="AC118" s="611"/>
      <c r="AD118" s="1883" t="s">
        <v>1742</v>
      </c>
      <c r="AE118" s="1883"/>
      <c r="AF118" s="1883"/>
      <c r="AG118" s="1883"/>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1939"/>
      <c r="F121" s="1940"/>
      <c r="G121" s="1940"/>
      <c r="H121" s="1940"/>
      <c r="I121" s="898"/>
      <c r="J121" s="1940">
        <v>2480</v>
      </c>
      <c r="K121" s="1940"/>
      <c r="L121" s="1940"/>
      <c r="M121" s="1940"/>
      <c r="N121" s="898"/>
      <c r="O121" s="1940"/>
      <c r="P121" s="1940"/>
      <c r="Q121" s="1940"/>
      <c r="R121" s="1940"/>
      <c r="S121" s="898"/>
      <c r="T121" s="1940"/>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2">
        <f>Application!DX670</f>
        <v>0</v>
      </c>
      <c r="F124" s="1933"/>
      <c r="G124" s="1933"/>
      <c r="H124" s="1933"/>
      <c r="I124" s="898"/>
      <c r="J124" s="1933">
        <f>Application!EC670</f>
        <v>1638.546218487395</v>
      </c>
      <c r="K124" s="1933"/>
      <c r="L124" s="1933"/>
      <c r="M124" s="1933"/>
      <c r="N124" s="898"/>
      <c r="O124" s="1933">
        <f>Application!EH670</f>
        <v>0</v>
      </c>
      <c r="P124" s="1933"/>
      <c r="Q124" s="1933"/>
      <c r="R124" s="1933"/>
      <c r="S124" s="902"/>
      <c r="T124" s="1933">
        <f>Application!EM670</f>
        <v>0</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30" t="e">
        <f>(E121-E124)/E121</f>
        <v>#DIV/0!</v>
      </c>
      <c r="F127" s="1885"/>
      <c r="G127" s="1885"/>
      <c r="H127" s="2131"/>
      <c r="I127" s="611"/>
      <c r="J127" s="2130">
        <f>(J121-J124)/J121</f>
        <v>0.33929587964217944</v>
      </c>
      <c r="K127" s="1885"/>
      <c r="L127" s="1885"/>
      <c r="M127" s="2131"/>
      <c r="N127" s="611"/>
      <c r="O127" s="2130" t="e">
        <f>(O121-O124)/O121</f>
        <v>#DIV/0!</v>
      </c>
      <c r="P127" s="1885"/>
      <c r="Q127" s="1885"/>
      <c r="R127" s="2131"/>
      <c r="S127" s="611"/>
      <c r="T127" s="2130" t="e">
        <f>(T121-T124)/T121</f>
        <v>#DIV/0!</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4" t="e">
        <f>IF(((E127-0.1)*AW110)&gt;0,((E127-0.1)*AW110),0)</f>
        <v>#DIV/0!</v>
      </c>
      <c r="F130" s="1935"/>
      <c r="G130" s="1935"/>
      <c r="H130" s="1936"/>
      <c r="I130" s="611"/>
      <c r="J130" s="1934">
        <f>IF(((J127-0.1)*AW111)&gt;0,((J127-0.1)*AW111),0)</f>
        <v>0.23929587964217944</v>
      </c>
      <c r="K130" s="1935"/>
      <c r="L130" s="1935"/>
      <c r="M130" s="1936"/>
      <c r="N130" s="611"/>
      <c r="O130" s="1934" t="e">
        <f>IF(((O127-0.1)*AW112)&gt;0,((O127-0.1)*AW112),0)</f>
        <v>#DIV/0!</v>
      </c>
      <c r="P130" s="1935"/>
      <c r="Q130" s="1935"/>
      <c r="R130" s="1936"/>
      <c r="S130" s="611"/>
      <c r="T130" s="1934" t="e">
        <f>IF(((T127-0.1)*AW113)&gt;0,((T127-0.1)*AW113),0)</f>
        <v>#DIV/0!</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30">
        <f>ROUNDDOWN(SUMIF(E130:AG130,"&gt;0"),2)</f>
        <v>0.23</v>
      </c>
      <c r="F132" s="1885"/>
      <c r="G132" s="1885"/>
      <c r="H132" s="2131"/>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8">
        <f>IF((E132*100)&gt;10,10,E132*100)</f>
        <v>10</v>
      </c>
      <c r="F133" s="1919"/>
      <c r="G133" s="1919"/>
      <c r="H133" s="192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1918">
        <f>E133</f>
        <v>10</v>
      </c>
      <c r="AL137" s="1919"/>
      <c r="AM137" s="192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898" t="s">
        <v>1420</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1444</v>
      </c>
      <c r="AG142" s="1930"/>
      <c r="AH142" s="1930"/>
      <c r="AI142" s="1930"/>
      <c r="AJ142" s="1930"/>
      <c r="AK142" s="1930"/>
      <c r="AL142" s="1930"/>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31" t="s">
        <v>2657</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1956" t="s">
        <v>1447</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1957" t="s">
        <v>598</v>
      </c>
      <c r="AC149" s="1957"/>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1956" t="s">
        <v>1449</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60">
        <f>IF($AB$149="N/A",VLOOKUP($B$147,$AO$145:$AP$148,2,FALSE),VLOOKUP($B$152,$AO$150:$AP$152,2,FALSE))</f>
        <v>7</v>
      </c>
      <c r="AK155" s="1960"/>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1458</v>
      </c>
      <c r="AG157" s="1930"/>
      <c r="AH157" s="1930"/>
      <c r="AI157" s="1930"/>
      <c r="AJ157" s="1930"/>
      <c r="AK157" s="1930"/>
      <c r="AL157" s="1930"/>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6" t="s">
        <v>1456</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598</v>
      </c>
      <c r="AG161" s="1957"/>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1956" t="s">
        <v>1449</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1958" t="str">
        <f>Application!AA335</f>
        <v>ConAm Management Corporation</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59">
        <f>IF($AF$161="N/A",VLOOKUP($C$159,$AO$159:$AP$162,2,FALSE),VLOOKUP($C$163,$AO$166:$AP$168,2,FALSE))</f>
        <v>3</v>
      </c>
      <c r="AK169" s="1959"/>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1918">
        <f>$AJ$155+$AJ$169</f>
        <v>10</v>
      </c>
      <c r="AL172" s="1919"/>
      <c r="AM172" s="192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1420</v>
      </c>
      <c r="AF175" s="1898"/>
      <c r="AG175" s="1898"/>
      <c r="AH175" s="1898"/>
      <c r="AI175" s="1898"/>
      <c r="AJ175" s="1898"/>
      <c r="AK175" s="1898"/>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1954" t="s">
        <v>1473</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1469</v>
      </c>
      <c r="AG177" s="1930"/>
      <c r="AH177" s="1930"/>
      <c r="AI177" s="1930"/>
      <c r="AJ177" s="1930"/>
      <c r="AK177" s="1930"/>
      <c r="AL177" s="1930"/>
      <c r="AN177" s="631"/>
      <c r="AP177" s="584" t="s">
        <v>1064</v>
      </c>
      <c r="AQ177" s="584">
        <v>10</v>
      </c>
    </row>
    <row r="178" spans="1:45" s="584" customFormat="1" ht="12.7" customHeight="1">
      <c r="A178" s="570"/>
      <c r="B178" s="1955" t="s">
        <v>1911</v>
      </c>
      <c r="C178" s="1955"/>
      <c r="D178" s="1955"/>
      <c r="E178" s="1955"/>
      <c r="F178" s="1955"/>
      <c r="G178" s="1955"/>
      <c r="H178" s="1955"/>
      <c r="I178" s="1955"/>
      <c r="J178" s="1955"/>
      <c r="K178" s="1955"/>
      <c r="L178" s="1955"/>
      <c r="M178" s="1955"/>
      <c r="N178" s="1955"/>
      <c r="O178" s="1955"/>
      <c r="P178" s="1955"/>
      <c r="Q178" s="1955"/>
      <c r="R178" s="1955"/>
      <c r="S178" s="1955"/>
      <c r="T178" s="1931" t="s">
        <v>598</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64">
        <f>IF(AK78&gt;0,VLOOKUP($B$177,AP174:AQ180,2,FALSE),0)</f>
        <v>10</v>
      </c>
      <c r="AL180" s="1965"/>
      <c r="AM180" s="1966"/>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1478</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2747</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44000000</v>
      </c>
      <c r="AE188" s="1943"/>
      <c r="AF188" s="1943"/>
      <c r="AG188" s="1943"/>
      <c r="AH188" s="1943"/>
      <c r="AI188" s="1943"/>
      <c r="AJ188" s="1943"/>
      <c r="AK188" s="644"/>
    </row>
    <row r="189" spans="1:45">
      <c r="A189" s="639"/>
      <c r="B189" s="1942"/>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1734</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0</v>
      </c>
      <c r="AE198" s="1971"/>
      <c r="AF198" s="1971"/>
      <c r="AG198" s="1971"/>
      <c r="AH198" s="1971"/>
      <c r="AI198" s="1971"/>
      <c r="AJ198" s="1971"/>
      <c r="AK198" s="644"/>
    </row>
    <row r="199" spans="1:37">
      <c r="A199" s="639"/>
      <c r="B199" s="2105" t="s">
        <v>1697</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1976">
        <f>SUM(AD188:AJ198)-AD199</f>
        <v>44000000</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1714</v>
      </c>
      <c r="J211" s="1946"/>
      <c r="K211" s="1946"/>
      <c r="L211" s="570"/>
      <c r="M211" s="570"/>
      <c r="N211" s="570"/>
      <c r="O211" s="570"/>
      <c r="P211" s="570"/>
      <c r="Q211" s="570"/>
      <c r="R211" s="570"/>
      <c r="S211" s="570"/>
      <c r="T211" s="2133" t="s">
        <v>1708</v>
      </c>
      <c r="U211" s="2133"/>
      <c r="V211" s="2133"/>
      <c r="W211" s="2133"/>
      <c r="X211" s="2133"/>
      <c r="Y211" s="2133"/>
      <c r="Z211" s="883"/>
      <c r="AA211" s="523"/>
      <c r="AB211" s="1941" t="s">
        <v>1709</v>
      </c>
      <c r="AC211" s="1941"/>
      <c r="AD211" s="1941"/>
      <c r="AE211" s="1941"/>
      <c r="AF211" s="1941"/>
      <c r="AG211" s="1941"/>
      <c r="AH211" s="861"/>
      <c r="AI211" s="861"/>
      <c r="AJ211" s="861"/>
      <c r="AK211" s="644"/>
    </row>
    <row r="212" spans="1:37">
      <c r="A212" s="639"/>
      <c r="B212" s="1944" t="s">
        <v>1694</v>
      </c>
      <c r="C212" s="1944"/>
      <c r="D212" s="1944"/>
      <c r="E212" s="1944"/>
      <c r="F212" s="1944"/>
      <c r="G212" s="1944"/>
      <c r="I212" s="1945" t="s">
        <v>1715</v>
      </c>
      <c r="J212" s="1945"/>
      <c r="K212" s="1945"/>
      <c r="L212" s="1043"/>
      <c r="N212" s="1951" t="s">
        <v>1710</v>
      </c>
      <c r="O212" s="1951"/>
      <c r="P212" s="1951"/>
      <c r="Q212" s="1951"/>
      <c r="R212" s="1951"/>
      <c r="T212" s="1951" t="s">
        <v>1711</v>
      </c>
      <c r="U212" s="1951"/>
      <c r="V212" s="1951"/>
      <c r="W212" s="1951"/>
      <c r="X212" s="1951"/>
      <c r="Y212" s="1951"/>
      <c r="Z212" s="884"/>
      <c r="AA212" s="523"/>
      <c r="AB212" s="2108" t="s">
        <v>1712</v>
      </c>
      <c r="AC212" s="2108"/>
      <c r="AD212" s="2108"/>
      <c r="AE212" s="2108"/>
      <c r="AF212" s="2108"/>
      <c r="AG212" s="2108"/>
      <c r="AH212" s="861"/>
      <c r="AI212" s="861"/>
      <c r="AJ212" s="861"/>
      <c r="AK212" s="644"/>
    </row>
    <row r="213" spans="1:37">
      <c r="A213" s="639"/>
      <c r="B213" s="1948" t="s">
        <v>1287</v>
      </c>
      <c r="C213" s="1948"/>
      <c r="D213" s="1948"/>
      <c r="E213" s="1948"/>
      <c r="F213" s="1948"/>
      <c r="G213" s="1948"/>
      <c r="H213" s="886"/>
      <c r="I213" s="1947"/>
      <c r="J213" s="1947"/>
      <c r="K213" s="1947"/>
      <c r="L213" s="1043"/>
      <c r="N213" s="1952"/>
      <c r="O213" s="1952"/>
      <c r="P213" s="1952"/>
      <c r="Q213" s="1952"/>
      <c r="R213" s="1952"/>
      <c r="T213" s="2106"/>
      <c r="U213" s="2106"/>
      <c r="V213" s="2106"/>
      <c r="W213" s="2106"/>
      <c r="X213" s="2106"/>
      <c r="Y213" s="2106"/>
      <c r="Z213" s="885"/>
      <c r="AA213" s="885"/>
      <c r="AB213" s="1949">
        <f t="shared" ref="AB213:AB222" si="0">MAX(($T213-$N213)*$I213*12,0)</f>
        <v>0</v>
      </c>
      <c r="AC213" s="1949"/>
      <c r="AD213" s="1949"/>
      <c r="AE213" s="1949"/>
      <c r="AF213" s="1949"/>
      <c r="AG213" s="1949"/>
      <c r="AH213" s="861"/>
      <c r="AI213" s="861"/>
      <c r="AJ213" s="861"/>
      <c r="AK213" s="644"/>
    </row>
    <row r="214" spans="1:37">
      <c r="A214" s="639"/>
      <c r="B214" s="1948" t="s">
        <v>1287</v>
      </c>
      <c r="C214" s="1948"/>
      <c r="D214" s="1948"/>
      <c r="E214" s="1948"/>
      <c r="F214" s="1948"/>
      <c r="G214" s="1948"/>
      <c r="I214" s="1947"/>
      <c r="J214" s="1947"/>
      <c r="K214" s="1947"/>
      <c r="L214" s="1043"/>
      <c r="N214" s="1952"/>
      <c r="O214" s="1952"/>
      <c r="P214" s="1952"/>
      <c r="Q214" s="1952"/>
      <c r="R214" s="1952"/>
      <c r="T214" s="2106"/>
      <c r="U214" s="2106"/>
      <c r="V214" s="2106"/>
      <c r="W214" s="2106"/>
      <c r="X214" s="2106"/>
      <c r="Y214" s="2106"/>
      <c r="Z214" s="885"/>
      <c r="AA214" s="885"/>
      <c r="AB214" s="1949">
        <f t="shared" si="0"/>
        <v>0</v>
      </c>
      <c r="AC214" s="1949"/>
      <c r="AD214" s="1949"/>
      <c r="AE214" s="1949"/>
      <c r="AF214" s="1949"/>
      <c r="AG214" s="1949"/>
      <c r="AH214" s="861"/>
      <c r="AI214" s="861"/>
      <c r="AJ214" s="861"/>
      <c r="AK214" s="644"/>
    </row>
    <row r="215" spans="1:37">
      <c r="A215" s="639"/>
      <c r="B215" s="1948" t="s">
        <v>1287</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1287</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1287</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1287</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1287</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1287</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1287</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1287</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49">
        <f>SUM(AB213:AB222)</f>
        <v>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0</v>
      </c>
      <c r="AC239" s="1949"/>
      <c r="AD239" s="1949"/>
      <c r="AE239" s="1949"/>
      <c r="AF239" s="1949"/>
      <c r="AG239" s="194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0</v>
      </c>
      <c r="AC241" s="1981"/>
      <c r="AD241" s="1981"/>
      <c r="AE241" s="1981"/>
      <c r="AF241" s="1981"/>
      <c r="AG241" s="1981"/>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0</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0</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44000000</v>
      </c>
      <c r="AH257" s="1967"/>
      <c r="AI257" s="1967"/>
      <c r="AJ257" s="1967"/>
      <c r="AK257" s="1967"/>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196770150</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0.22</v>
      </c>
      <c r="AH259" s="1968"/>
      <c r="AI259" s="1968"/>
      <c r="AJ259" s="1968"/>
      <c r="AK259" s="1968"/>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1969">
        <f>IFERROR(IF(AG259=0,0,IF((AG259*100)&gt;8,8,(AG259*100))),0)</f>
        <v>8</v>
      </c>
      <c r="AL262" s="1969"/>
      <c r="AM262" s="1970"/>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1" t="s">
        <v>598</v>
      </c>
      <c r="D267" s="1961"/>
      <c r="E267" s="581"/>
      <c r="F267" s="2118" t="s">
        <v>2334</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1469</v>
      </c>
      <c r="AH267" s="1962"/>
      <c r="AI267" s="1962"/>
      <c r="AJ267" s="1962"/>
      <c r="AK267" s="584"/>
      <c r="AL267" s="584"/>
      <c r="AM267" s="584"/>
      <c r="AO267" s="584"/>
    </row>
    <row r="268" spans="1:52" ht="13.75"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5"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1969">
        <f>IF($C$267="yes",10,0)</f>
        <v>0</v>
      </c>
      <c r="AL274" s="1969"/>
      <c r="AM274" s="1970"/>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46" t="s">
        <v>1488</v>
      </c>
      <c r="B281" s="1646"/>
      <c r="C281" s="1957" t="s">
        <v>598</v>
      </c>
      <c r="D281" s="1961"/>
      <c r="E281" s="581"/>
      <c r="F281" s="1989" t="s">
        <v>1489</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2327</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83" t="s">
        <v>2335</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3" t="s">
        <v>1490</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3" t="s">
        <v>1491</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46" t="s">
        <v>1492</v>
      </c>
      <c r="B291" s="1646"/>
      <c r="C291" s="1961" t="s">
        <v>552</v>
      </c>
      <c r="D291" s="196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1895" t="s">
        <v>2329</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0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6" t="s">
        <v>1495</v>
      </c>
      <c r="B299" s="1646"/>
      <c r="C299" s="1961" t="s">
        <v>598</v>
      </c>
      <c r="D299" s="196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83" t="s">
        <v>2336</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1287</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3" t="s">
        <v>1287</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1999" t="s">
        <v>1287</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1999" t="s">
        <v>1287</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46" t="s">
        <v>1498</v>
      </c>
      <c r="B322" s="1646"/>
      <c r="C322" s="1961" t="s">
        <v>598</v>
      </c>
      <c r="D322" s="1961"/>
      <c r="E322" s="581"/>
      <c r="F322" s="1889" t="s">
        <v>2337</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64">
        <f>IF(NOT(OR(Application!M355="Yes",Application!M356="Yes")),0,AP284)</f>
        <v>9</v>
      </c>
      <c r="AL327" s="1965"/>
      <c r="AM327" s="1966"/>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898" t="s">
        <v>1420</v>
      </c>
      <c r="AF330" s="1898"/>
      <c r="AG330" s="1898"/>
      <c r="AH330" s="1898"/>
      <c r="AI330" s="1898"/>
      <c r="AJ330" s="1898"/>
      <c r="AK330" s="1898"/>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3" t="s">
        <v>1560</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5"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2404</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3" t="s">
        <v>2566</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05"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 customHeight="1">
      <c r="A342" s="637"/>
      <c r="B342" s="645"/>
      <c r="C342" s="2003" t="s">
        <v>1561</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2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9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1562</v>
      </c>
    </row>
    <row r="347" spans="1:46" s="584" customFormat="1" ht="12.7"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7</v>
      </c>
      <c r="AS348" s="573" t="s">
        <v>1563</v>
      </c>
    </row>
    <row r="349" spans="1:46" s="584" customFormat="1" ht="12.7"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0</v>
      </c>
      <c r="AT349" s="2024"/>
    </row>
    <row r="350" spans="1:46" s="584" customFormat="1" ht="12.7"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588</v>
      </c>
      <c r="AP350" s="730">
        <f>IF(C396="Yes",5,0)</f>
        <v>0</v>
      </c>
      <c r="AS350" s="573" t="s">
        <v>2065</v>
      </c>
    </row>
    <row r="351" spans="1:46" s="584" customFormat="1" ht="12.7" customHeight="1">
      <c r="A351" s="637"/>
      <c r="B351" s="645"/>
      <c r="C351" s="2025" t="s">
        <v>1564</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3</v>
      </c>
      <c r="AS351" s="2024">
        <f>IF(AQ355=0,AQ364,AQ355)</f>
        <v>10</v>
      </c>
      <c r="AT351" s="2024"/>
    </row>
    <row r="352" spans="1:46" s="584" customFormat="1" ht="12.7"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770</v>
      </c>
      <c r="AP352" s="730">
        <f>IF(C401="Yes",5,0)</f>
        <v>0</v>
      </c>
    </row>
    <row r="353" spans="1:81" s="584" customFormat="1" ht="12.7"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591</v>
      </c>
      <c r="AP353" s="730">
        <f>IF(C410="Yes",5,0)</f>
        <v>0</v>
      </c>
    </row>
    <row r="354" spans="1:81" s="584" customFormat="1" ht="11.9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5"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227</v>
      </c>
      <c r="AP355" s="734">
        <f>SUM(AP346:AP354)</f>
        <v>10</v>
      </c>
      <c r="AQ355" s="2026">
        <f>IF(AP355&gt;0,AP355,0)</f>
        <v>10</v>
      </c>
      <c r="AR355" s="2026"/>
    </row>
    <row r="356" spans="1:81" s="584" customFormat="1" ht="12.7"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2003" t="s">
        <v>1565</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463</v>
      </c>
      <c r="AP358" s="730">
        <f>IF(C431="Yes",5,0)</f>
        <v>0</v>
      </c>
    </row>
    <row r="359" spans="1:81" s="584" customFormat="1" ht="12.7"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468</v>
      </c>
      <c r="AP359" s="730">
        <f>IF(C438="Yes",5,0)</f>
        <v>0</v>
      </c>
    </row>
    <row r="360" spans="1:81" s="584" customFormat="1" ht="68.150000000000006"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2112">
        <f>Application!CS660-U363</f>
        <v>476</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6">
        <f>IF(AP364&gt;0,AP364,0)</f>
        <v>0</v>
      </c>
      <c r="AR364" s="2026"/>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2007" t="s">
        <v>1567</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4" t="s">
        <v>598</v>
      </c>
      <c r="D370" s="196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1569</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2007" t="s">
        <v>1570</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 customHeight="1">
      <c r="A378" s="570"/>
      <c r="B378" s="14"/>
      <c r="C378" s="2004" t="s">
        <v>598</v>
      </c>
      <c r="D378" s="196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1569</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2007" t="s">
        <v>1572</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4" t="s">
        <v>552</v>
      </c>
      <c r="D386" s="196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1574</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4" t="s">
        <v>598</v>
      </c>
      <c r="D388" s="196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1569</v>
      </c>
      <c r="AG388" s="2005"/>
      <c r="AH388" s="2005"/>
      <c r="AI388" s="2005"/>
      <c r="AJ388" s="2005"/>
      <c r="AK388" s="2005"/>
      <c r="AL388" s="2006"/>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2007" t="s">
        <v>1578</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4" t="s">
        <v>598</v>
      </c>
      <c r="D396" s="196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1569</v>
      </c>
      <c r="AG396" s="2005"/>
      <c r="AH396" s="2005"/>
      <c r="AI396" s="2005"/>
      <c r="AJ396" s="2005"/>
      <c r="AK396" s="2005"/>
      <c r="AL396" s="2006"/>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4" t="s">
        <v>552</v>
      </c>
      <c r="D398" s="196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1581</v>
      </c>
      <c r="AG398" s="2005"/>
      <c r="AH398" s="2005"/>
      <c r="AI398" s="2005"/>
      <c r="AJ398" s="2005"/>
      <c r="AK398" s="2005"/>
      <c r="AL398" s="2006"/>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4" t="s">
        <v>598</v>
      </c>
      <c r="D401" s="1961"/>
      <c r="E401" s="749" t="s">
        <v>1582</v>
      </c>
      <c r="F401" s="2007" t="s">
        <v>1583</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1569</v>
      </c>
      <c r="AG402" s="1930"/>
      <c r="AH402" s="1930"/>
      <c r="AI402" s="1930"/>
      <c r="AJ402" s="1930"/>
      <c r="AK402" s="1930"/>
      <c r="AL402" s="2009"/>
      <c r="AM402" s="604"/>
      <c r="AN402" s="631"/>
      <c r="BS402" s="604"/>
      <c r="BT402" s="604"/>
      <c r="BY402" s="604"/>
      <c r="BZ402" s="604"/>
      <c r="CA402" s="604"/>
      <c r="CB402" s="604"/>
      <c r="CC402" s="604"/>
    </row>
    <row r="403" spans="1:81" s="584" customFormat="1" ht="12.7"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2007" t="s">
        <v>1585</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 customHeight="1">
      <c r="A410" s="570"/>
      <c r="B410" s="14"/>
      <c r="C410" s="2004" t="s">
        <v>598</v>
      </c>
      <c r="D410" s="196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1569</v>
      </c>
      <c r="AG410" s="1930"/>
      <c r="AH410" s="1930"/>
      <c r="AI410" s="1930"/>
      <c r="AJ410" s="1930"/>
      <c r="AK410" s="1930"/>
      <c r="AL410" s="2009"/>
      <c r="AM410" s="604"/>
      <c r="AN410" s="631"/>
    </row>
    <row r="411" spans="1:81" s="584" customFormat="1" ht="12.7" customHeight="1">
      <c r="A411" s="570"/>
      <c r="B411" s="14"/>
      <c r="C411" s="773"/>
      <c r="AL411" s="766"/>
      <c r="AM411" s="604"/>
      <c r="AN411" s="631"/>
    </row>
    <row r="412" spans="1:81" s="584" customFormat="1" ht="12.7" customHeight="1">
      <c r="A412" s="570"/>
      <c r="B412" s="14"/>
      <c r="C412" s="2004" t="s">
        <v>598</v>
      </c>
      <c r="D412" s="196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1581</v>
      </c>
      <c r="AG412" s="1930"/>
      <c r="AH412" s="1930"/>
      <c r="AI412" s="1930"/>
      <c r="AJ412" s="1930"/>
      <c r="AK412" s="1930"/>
      <c r="AL412" s="200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2007" t="s">
        <v>1589</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5"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 customHeight="1">
      <c r="A419" s="570"/>
      <c r="B419" s="14"/>
      <c r="C419" s="2004" t="s">
        <v>598</v>
      </c>
      <c r="D419" s="196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1569</v>
      </c>
      <c r="AG419" s="1930"/>
      <c r="AH419" s="1930"/>
      <c r="AI419" s="1930"/>
      <c r="AJ419" s="1930"/>
      <c r="AK419" s="1930"/>
      <c r="AL419" s="200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2007" t="s">
        <v>1592</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 customHeight="1">
      <c r="A431" s="570"/>
      <c r="B431" s="14"/>
      <c r="C431" s="2004" t="s">
        <v>598</v>
      </c>
      <c r="D431" s="196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1569</v>
      </c>
      <c r="AG431" s="1930"/>
      <c r="AH431" s="1930"/>
      <c r="AI431" s="1930"/>
      <c r="AJ431" s="1930"/>
      <c r="AK431" s="1930"/>
      <c r="AL431" s="200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2007" t="s">
        <v>1595</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 customHeight="1">
      <c r="A438" s="570"/>
      <c r="B438" s="14"/>
      <c r="C438" s="2004" t="s">
        <v>598</v>
      </c>
      <c r="D438" s="196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1569</v>
      </c>
      <c r="AG438" s="1930"/>
      <c r="AH438" s="1930"/>
      <c r="AI438" s="1930"/>
      <c r="AJ438" s="1930"/>
      <c r="AK438" s="1930"/>
      <c r="AL438" s="200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10" t="s">
        <v>598</v>
      </c>
      <c r="D442" s="2011"/>
      <c r="E442" s="749" t="s">
        <v>1604</v>
      </c>
      <c r="F442" s="2007" t="s">
        <v>1605</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1569</v>
      </c>
      <c r="AG442" s="2028"/>
      <c r="AH442" s="2028"/>
      <c r="AI442" s="2028"/>
      <c r="AJ442" s="2028"/>
      <c r="AK442" s="2028"/>
      <c r="AL442" s="2029"/>
      <c r="AM442" s="604"/>
      <c r="AN442" s="787"/>
    </row>
    <row r="443" spans="1:40" s="584" customFormat="1" ht="12.7"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4" t="s">
        <v>598</v>
      </c>
      <c r="D446" s="1961"/>
      <c r="E446" s="749" t="s">
        <v>1610</v>
      </c>
      <c r="F446" s="2007" t="s">
        <v>1611</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1569</v>
      </c>
      <c r="AG446" s="2028"/>
      <c r="AH446" s="2028"/>
      <c r="AI446" s="2028"/>
      <c r="AJ446" s="2028"/>
      <c r="AK446" s="2028"/>
      <c r="AL446" s="2029"/>
      <c r="AM446" s="604"/>
      <c r="AN446" s="569"/>
    </row>
    <row r="447" spans="1:40" s="584" customFormat="1" ht="12.7"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2007" t="s">
        <v>1614</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 customHeight="1">
      <c r="A455" s="570"/>
      <c r="B455" s="14"/>
      <c r="C455" s="2004" t="s">
        <v>598</v>
      </c>
      <c r="D455" s="196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1569</v>
      </c>
      <c r="AG455" s="2005"/>
      <c r="AH455" s="2005"/>
      <c r="AI455" s="2005"/>
      <c r="AJ455" s="2005"/>
      <c r="AK455" s="2005"/>
      <c r="AL455" s="2006"/>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64">
        <f>IF(Application!D214="N/A",AS347,AS349)</f>
        <v>10</v>
      </c>
      <c r="AL458" s="1965"/>
      <c r="AM458" s="1966"/>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2005" t="s">
        <v>1618</v>
      </c>
      <c r="AF461" s="2005"/>
      <c r="AG461" s="2005"/>
      <c r="AH461" s="2005"/>
      <c r="AI461" s="2005"/>
      <c r="AJ461" s="2005"/>
      <c r="AK461" s="2005"/>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2030" t="s">
        <v>598</v>
      </c>
      <c r="D467" s="2031"/>
      <c r="E467" s="795" t="s">
        <v>514</v>
      </c>
      <c r="F467" s="2032" t="s">
        <v>1624</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34" t="s">
        <v>598</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35" t="s">
        <v>552</v>
      </c>
      <c r="D471" s="2036"/>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2042" t="s">
        <v>598</v>
      </c>
      <c r="W474" s="2042"/>
      <c r="X474" s="2042"/>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2042" t="s">
        <v>598</v>
      </c>
      <c r="W476" s="2042"/>
      <c r="X476" s="2042"/>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2042" t="s">
        <v>598</v>
      </c>
      <c r="W481" s="2042"/>
      <c r="X481" s="2042"/>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2041"/>
      <c r="E484" s="2041"/>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2042" t="s">
        <v>598</v>
      </c>
      <c r="W485" s="2042"/>
      <c r="X485" s="2042"/>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2042" t="s">
        <v>598</v>
      </c>
      <c r="W487" s="2042"/>
      <c r="X487" s="2042"/>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30" t="s">
        <v>598</v>
      </c>
      <c r="D490" s="2031"/>
      <c r="E490" s="795" t="s">
        <v>514</v>
      </c>
      <c r="F490" s="2032" t="s">
        <v>1624</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7" t="s">
        <v>598</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30" t="s">
        <v>598</v>
      </c>
      <c r="D494" s="2031"/>
      <c r="E494" s="795" t="s">
        <v>764</v>
      </c>
      <c r="F494" s="2038" t="s">
        <v>1646</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598</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598</v>
      </c>
      <c r="D499" s="2031"/>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598</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5" t="s">
        <v>598</v>
      </c>
      <c r="D504" s="2056"/>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5" t="s">
        <v>598</v>
      </c>
      <c r="D508" s="2056"/>
      <c r="F508" s="829" t="s">
        <v>1654</v>
      </c>
      <c r="G508" s="2008" t="s">
        <v>1655</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3" t="s">
        <v>598</v>
      </c>
      <c r="D512" s="2044"/>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5" t="s">
        <v>598</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1667</v>
      </c>
      <c r="AF527" s="1898"/>
      <c r="AG527" s="1898"/>
      <c r="AH527" s="1898"/>
      <c r="AI527" s="1898"/>
      <c r="AJ527" s="1898"/>
      <c r="AK527" s="1898"/>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61" t="s">
        <v>552</v>
      </c>
      <c r="D530" s="1961"/>
      <c r="E530" s="585"/>
      <c r="F530" s="2047" t="s">
        <v>1668</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61" t="s">
        <v>598</v>
      </c>
      <c r="D533" s="196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3" t="s">
        <v>1670</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3" t="s">
        <v>1671</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264021224</v>
      </c>
      <c r="AQ539" s="2111"/>
      <c r="AR539" s="2111"/>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188620499</v>
      </c>
      <c r="AG540" s="1967"/>
      <c r="AH540" s="1967"/>
      <c r="AI540" s="1967"/>
      <c r="AJ540" s="1967"/>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414698520.19999999</v>
      </c>
      <c r="AG541" s="2116"/>
      <c r="AH541" s="2116"/>
      <c r="AI541" s="2116"/>
      <c r="AJ541" s="2116"/>
      <c r="AK541" s="629"/>
      <c r="AL541" s="629"/>
      <c r="AM541" s="629"/>
      <c r="AN541" s="631"/>
      <c r="AP541" s="2111">
        <f>Application!AJ1044</f>
        <v>26402122.400000002</v>
      </c>
      <c r="AQ541" s="2111"/>
      <c r="AR541" s="2111"/>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0.54</v>
      </c>
      <c r="AG542" s="2117"/>
      <c r="AH542" s="2117"/>
      <c r="AI542" s="2117"/>
      <c r="AJ542" s="2117"/>
      <c r="AK542" s="629"/>
      <c r="AL542" s="629"/>
      <c r="AM542" s="629"/>
      <c r="AN542" s="631"/>
      <c r="AP542" s="2114">
        <f>Application!AJ1048</f>
        <v>52804244.800000004</v>
      </c>
      <c r="AQ542" s="2114"/>
      <c r="AR542" s="211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0.3</v>
      </c>
      <c r="AQ543" s="2110"/>
      <c r="AR543" s="2110"/>
      <c r="AS543" s="584" t="s">
        <v>2529</v>
      </c>
    </row>
    <row r="544" spans="1:49" s="584" customFormat="1" ht="12.7" customHeight="1">
      <c r="A544" s="658"/>
      <c r="B544" s="2063" t="s">
        <v>2341</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335492153</v>
      </c>
      <c r="AQ545" s="2019"/>
      <c r="AR545" s="2019"/>
      <c r="AS545" s="584" t="s">
        <v>2531</v>
      </c>
    </row>
    <row r="546" spans="1:45" s="584" customFormat="1" ht="12.7"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414698520.19999999</v>
      </c>
      <c r="AQ546" s="2111"/>
      <c r="AR546" s="2111"/>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2072">
        <f>IFERROR(IF(AND(C530="N/A",C533="N/A"),0,IF(AF542=0,0,IF((AF542*100)&gt;12,12,(AF542*100)))),0)</f>
        <v>12</v>
      </c>
      <c r="AL548" s="2072"/>
      <c r="AM548" s="2073"/>
      <c r="AN548" s="631"/>
      <c r="AP548" s="2127">
        <f>AP545+(AP539*AP543)</f>
        <v>414698520.19999999</v>
      </c>
      <c r="AQ548" s="2128"/>
      <c r="AR548" s="2129"/>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1420</v>
      </c>
      <c r="AF551" s="1898"/>
      <c r="AG551" s="1898"/>
      <c r="AH551" s="1898"/>
      <c r="AI551" s="1898"/>
      <c r="AJ551" s="1898"/>
      <c r="AK551" s="1898"/>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4" t="s">
        <v>2332</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1444</v>
      </c>
      <c r="AG567" s="1930"/>
      <c r="AH567" s="1930"/>
      <c r="AI567" s="1930"/>
      <c r="AJ567" s="1930"/>
      <c r="AK567" s="1930"/>
      <c r="AL567" s="1930"/>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1502</v>
      </c>
      <c r="AG574" s="1930"/>
      <c r="AH574" s="1930"/>
      <c r="AI574" s="1930"/>
      <c r="AJ574" s="1930"/>
      <c r="AK574" s="1930"/>
      <c r="AL574" s="1930"/>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1484</v>
      </c>
      <c r="AG580" s="1930"/>
      <c r="AH580" s="1930"/>
      <c r="AI580" s="1930"/>
      <c r="AJ580" s="1930"/>
      <c r="AK580" s="1930"/>
      <c r="AL580" s="1930"/>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1505</v>
      </c>
      <c r="AG586" s="1930"/>
      <c r="AH586" s="1930"/>
      <c r="AI586" s="1930"/>
      <c r="AJ586" s="1930"/>
      <c r="AK586" s="1930"/>
      <c r="AL586" s="1930"/>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15" t="s">
        <v>1287</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1458</v>
      </c>
      <c r="AG592" s="1930"/>
      <c r="AH592" s="1930"/>
      <c r="AI592" s="1930"/>
      <c r="AJ592" s="1930"/>
      <c r="AK592" s="1930"/>
      <c r="AL592" s="1930"/>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2013" t="s">
        <v>694</v>
      </c>
      <c r="I595" s="2013"/>
      <c r="J595" s="971"/>
      <c r="K595" s="971"/>
      <c r="L595" s="971"/>
      <c r="N595" s="22"/>
      <c r="O595" s="22"/>
      <c r="P595" s="22"/>
      <c r="Q595" s="1195" t="s">
        <v>2534</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14" t="s">
        <v>598</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1957" t="s">
        <v>598</v>
      </c>
      <c r="C605" s="1957"/>
      <c r="D605" s="676"/>
      <c r="E605" s="1984" t="s">
        <v>1509</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64">
        <f>VLOOKUP($H$595,$AO$575:$AP$580,2,FALSE)+IF(R595=AO583,0,VLOOKUP($I$603,$AO$602:$AP$604,2,FALSE))</f>
        <v>7</v>
      </c>
      <c r="AK610" s="1966"/>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12" t="s">
        <v>1879</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1458</v>
      </c>
      <c r="AG614" s="1930"/>
      <c r="AH614" s="1930"/>
      <c r="AI614" s="1930"/>
      <c r="AJ614" s="1930"/>
      <c r="AK614" s="1930"/>
      <c r="AL614" s="1930"/>
      <c r="AM614" s="584"/>
      <c r="AN614" s="712"/>
    </row>
    <row r="615" spans="1:42" s="584" customFormat="1" ht="12.7"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1957" t="s">
        <v>598</v>
      </c>
      <c r="Y623" s="1957"/>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1514</v>
      </c>
      <c r="AG625" s="1930"/>
      <c r="AH625" s="1930"/>
      <c r="AI625" s="1930"/>
      <c r="AJ625" s="1930"/>
      <c r="AK625" s="1930"/>
      <c r="AL625" s="1930"/>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2013" t="s">
        <v>694</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64">
        <f>VLOOKUP($H$627,$AO$594:$AP$596,2,FALSE)</f>
        <v>3</v>
      </c>
      <c r="AK629" s="1966"/>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84" t="s">
        <v>2411</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1458</v>
      </c>
      <c r="AG633" s="1930"/>
      <c r="AH633" s="1930"/>
      <c r="AI633" s="1930"/>
      <c r="AJ633" s="1930"/>
      <c r="AK633" s="1930"/>
      <c r="AL633" s="1930"/>
      <c r="AN633" s="631"/>
    </row>
    <row r="634" spans="1:42" s="584" customFormat="1" ht="12.7"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1514</v>
      </c>
      <c r="AG636" s="1930"/>
      <c r="AH636" s="1930"/>
      <c r="AI636" s="1930"/>
      <c r="AJ636" s="1930"/>
      <c r="AK636" s="1930"/>
      <c r="AL636" s="1930"/>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2013" t="s">
        <v>598</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64">
        <f>VLOOKUP(H639,AT594:AU596,2,FALSE)</f>
        <v>0</v>
      </c>
      <c r="AK641" s="1966"/>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84" t="s">
        <v>1524</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1484</v>
      </c>
      <c r="AG646" s="1930"/>
      <c r="AH646" s="1930"/>
      <c r="AI646" s="1930"/>
      <c r="AJ646" s="1930"/>
      <c r="AK646" s="1930"/>
      <c r="AL646" s="1930"/>
      <c r="AN646" s="631"/>
    </row>
    <row r="647" spans="1:42" s="584" customFormat="1" ht="12.7"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84" t="s">
        <v>1525</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1505</v>
      </c>
      <c r="AG650" s="1930"/>
      <c r="AH650" s="1930"/>
      <c r="AI650" s="1930"/>
      <c r="AJ650" s="1930"/>
      <c r="AK650" s="1930"/>
      <c r="AL650" s="1930"/>
      <c r="AN650" s="631"/>
    </row>
    <row r="651" spans="1:42" s="584" customFormat="1" ht="12.7"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0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84" t="s">
        <v>1526</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1458</v>
      </c>
      <c r="AG654" s="1930"/>
      <c r="AH654" s="1930"/>
      <c r="AI654" s="1930"/>
      <c r="AJ654" s="1930"/>
      <c r="AK654" s="1930"/>
      <c r="AL654" s="1930"/>
      <c r="AN654" s="631"/>
    </row>
    <row r="655" spans="1:42" s="584" customFormat="1" ht="12.7"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598</v>
      </c>
      <c r="AP655" s="707">
        <v>0</v>
      </c>
    </row>
    <row r="656" spans="1:42" s="584" customFormat="1" ht="12.7"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84" t="s">
        <v>1527</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1505</v>
      </c>
      <c r="AG658" s="1930"/>
      <c r="AH658" s="1930"/>
      <c r="AI658" s="1930"/>
      <c r="AJ658" s="1930"/>
      <c r="AK658" s="1930"/>
      <c r="AL658" s="1930"/>
      <c r="AN658" s="631"/>
    </row>
    <row r="659" spans="1:42" s="584" customFormat="1" ht="12.7"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84" t="s">
        <v>1528</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1458</v>
      </c>
      <c r="AG662" s="1930"/>
      <c r="AH662" s="1930"/>
      <c r="AI662" s="1930"/>
      <c r="AJ662" s="1930"/>
      <c r="AK662" s="1930"/>
      <c r="AL662" s="1930"/>
      <c r="AM662" s="630"/>
      <c r="AN662" s="631"/>
    </row>
    <row r="663" spans="1:42" s="584" customFormat="1" ht="12.7"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84" t="s">
        <v>1529</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1514</v>
      </c>
      <c r="AG666" s="1930"/>
      <c r="AH666" s="1930"/>
      <c r="AI666" s="1930"/>
      <c r="AJ666" s="1930"/>
      <c r="AK666" s="1930"/>
      <c r="AL666" s="1930"/>
      <c r="AM666" s="630"/>
      <c r="AN666" s="631"/>
    </row>
    <row r="667" spans="1:42" s="584" customFormat="1" ht="12.7"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84" t="s">
        <v>1530</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1531</v>
      </c>
      <c r="AG670" s="1930"/>
      <c r="AH670" s="1930"/>
      <c r="AI670" s="1930"/>
      <c r="AJ670" s="1930"/>
      <c r="AK670" s="1930"/>
      <c r="AL670" s="1930"/>
      <c r="AM670" s="630"/>
      <c r="AN670" s="631"/>
      <c r="AO670" s="645" t="s">
        <v>694</v>
      </c>
      <c r="AP670" s="584">
        <v>3</v>
      </c>
    </row>
    <row r="671" spans="1:42" s="584" customFormat="1" ht="12.7"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2013" t="s">
        <v>694</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64">
        <f>VLOOKUP($H$674,$AO$622:$AP$629,2,FALSE)</f>
        <v>5</v>
      </c>
      <c r="AK676" s="1966"/>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476</v>
      </c>
    </row>
    <row r="680" spans="1:51" s="584" customFormat="1" ht="12.7" customHeight="1">
      <c r="A680" s="713"/>
      <c r="B680" s="570"/>
      <c r="C680" s="983"/>
      <c r="D680" s="697" t="s">
        <v>694</v>
      </c>
      <c r="E680" s="2020" t="s">
        <v>2547</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1458</v>
      </c>
      <c r="AG680" s="1930"/>
      <c r="AH680" s="1930"/>
      <c r="AI680" s="1930"/>
      <c r="AJ680" s="1930"/>
      <c r="AK680" s="1930"/>
      <c r="AL680" s="1930"/>
      <c r="AN680" s="631"/>
      <c r="AW680" s="22" t="s">
        <v>2542</v>
      </c>
      <c r="AX680" s="584">
        <f>Application!CC632</f>
        <v>0</v>
      </c>
    </row>
    <row r="681" spans="1:51" s="584" customFormat="1" ht="12.7"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84" t="s">
        <v>2448</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1458</v>
      </c>
      <c r="AG683" s="1930"/>
      <c r="AH683" s="1930"/>
      <c r="AI683" s="1930"/>
      <c r="AJ683" s="1930"/>
      <c r="AK683" s="1930"/>
      <c r="AL683" s="1930"/>
      <c r="AN683" s="631"/>
      <c r="AW683" s="22" t="s">
        <v>2545</v>
      </c>
      <c r="AX683" s="584">
        <f>AX680+AX681+AX682</f>
        <v>0</v>
      </c>
    </row>
    <row r="684" spans="1:51" s="584" customFormat="1" ht="12.7"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0</v>
      </c>
      <c r="AP684" s="2019"/>
      <c r="AW684" s="22" t="s">
        <v>2546</v>
      </c>
      <c r="AX684" s="584">
        <f>IFERROR(AX683/AX679,0)</f>
        <v>0</v>
      </c>
      <c r="AY684" s="584">
        <f>IFERROR(AX683/(AX679-AX678),0)</f>
        <v>0</v>
      </c>
    </row>
    <row r="685" spans="1:51" s="584" customFormat="1" ht="12.7"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84" t="s">
        <v>2449</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1514</v>
      </c>
      <c r="AG688" s="1930"/>
      <c r="AH688" s="1930"/>
      <c r="AI688" s="1930"/>
      <c r="AJ688" s="1930"/>
      <c r="AK688" s="1930"/>
      <c r="AL688" s="1930"/>
      <c r="AN688" s="631"/>
      <c r="AO688" s="645" t="s">
        <v>516</v>
      </c>
      <c r="AP688" s="584">
        <v>1</v>
      </c>
    </row>
    <row r="689" spans="1:42" s="584" customFormat="1" ht="12.05"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05"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05"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84" t="s">
        <v>1878</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2013" t="s">
        <v>598</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64">
        <f>VLOOKUP($H$698,$AO$692:$AP$695,2,FALSE)</f>
        <v>0</v>
      </c>
      <c r="AK700" s="1966"/>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1" t="s">
        <v>1880</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1458</v>
      </c>
      <c r="AG704" s="1930"/>
      <c r="AH704" s="1930"/>
      <c r="AI704" s="1930"/>
      <c r="AJ704" s="1930"/>
      <c r="AK704" s="1930"/>
      <c r="AL704" s="1930"/>
      <c r="AM704" s="584"/>
      <c r="AN704" s="718"/>
      <c r="AP704" s="604" t="s">
        <v>1538</v>
      </c>
    </row>
    <row r="705" spans="1:52" s="604" customFormat="1" ht="11.9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2" t="s">
        <v>1541</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1514</v>
      </c>
      <c r="AG708" s="1930"/>
      <c r="AH708" s="1930"/>
      <c r="AI708" s="1930"/>
      <c r="AJ708" s="1930"/>
      <c r="AK708" s="1930"/>
      <c r="AL708" s="1930"/>
      <c r="AM708" s="584"/>
      <c r="AN708" s="719"/>
    </row>
    <row r="709" spans="1:52" s="604" customFormat="1" ht="12.7"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2013" t="s">
        <v>598</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84" t="s">
        <v>1881</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1458</v>
      </c>
      <c r="AG718" s="1930"/>
      <c r="AH718" s="1930"/>
      <c r="AI718" s="1930"/>
      <c r="AJ718" s="1930"/>
      <c r="AK718" s="1930"/>
      <c r="AL718" s="1930"/>
      <c r="AM718" s="584"/>
      <c r="AN718" s="718"/>
      <c r="AT718" s="14"/>
      <c r="AU718" s="14"/>
      <c r="AV718" s="14"/>
      <c r="AW718" s="14"/>
      <c r="AX718" s="14"/>
      <c r="AY718" s="14"/>
      <c r="AZ718" s="14"/>
    </row>
    <row r="719" spans="1:52" s="604" customFormat="1" ht="12.95">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84" t="s">
        <v>1545</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1514</v>
      </c>
      <c r="AG721" s="1930"/>
      <c r="AH721" s="1930"/>
      <c r="AI721" s="1930"/>
      <c r="AJ721" s="1930"/>
      <c r="AK721" s="1930"/>
      <c r="AL721" s="1930"/>
      <c r="AM721" s="584"/>
      <c r="AN721" s="718"/>
      <c r="AT721" s="14"/>
      <c r="AU721" s="14"/>
      <c r="AV721" s="14"/>
      <c r="AW721" s="14"/>
      <c r="AX721" s="14"/>
      <c r="AY721" s="14"/>
      <c r="AZ721" s="14"/>
    </row>
    <row r="722" spans="1:81" s="604" customFormat="1" ht="12.95">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2013" t="s">
        <v>598</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84" t="s">
        <v>1548</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1458</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4" t="s">
        <v>1549</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1514</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2013" t="s">
        <v>598</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64">
        <f>VLOOKUP($H$740,$AO$669:$AP$671,2,FALSE)</f>
        <v>0</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84" t="s">
        <v>1551</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1514</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4" t="s">
        <v>1552</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1531</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2013" t="s">
        <v>694</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84" t="s">
        <v>1877</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1514</v>
      </c>
      <c r="AG758" s="1930"/>
      <c r="AH758" s="1930"/>
      <c r="AI758" s="1930"/>
      <c r="AJ758" s="1930"/>
      <c r="AK758" s="1930"/>
      <c r="AL758" s="1930"/>
      <c r="AM758" s="647"/>
      <c r="AN758" s="718"/>
      <c r="AO758" s="584" t="s">
        <v>598</v>
      </c>
      <c r="AP758" s="707">
        <v>0</v>
      </c>
    </row>
    <row r="759" spans="1:74" s="604" customFormat="1" ht="13.75"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3" t="s">
        <v>1882</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1458</v>
      </c>
      <c r="AG763" s="1930"/>
      <c r="AH763" s="1930"/>
      <c r="AI763" s="1930"/>
      <c r="AJ763" s="1930"/>
      <c r="AK763" s="1930"/>
      <c r="AL763" s="1930"/>
      <c r="AM763" s="647"/>
      <c r="AN763" s="631"/>
    </row>
    <row r="764" spans="1:74" s="584" customFormat="1" ht="12.7"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2013" t="s">
        <v>598</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84" t="s">
        <v>2342</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1458</v>
      </c>
      <c r="AG774" s="1930"/>
      <c r="AH774" s="1930"/>
      <c r="AI774" s="1930"/>
      <c r="AJ774" s="1930"/>
      <c r="AK774" s="1930"/>
      <c r="AL774" s="1930"/>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2013" t="s">
        <v>598</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64">
        <f>IF(($AJ$610+$AJ$629+$AJ$641+$AJ$676+$AJ$700+$AJ$714+$AJ$726+$AJ$742+$AJ$754+$AJ$770+AJ781)&gt;10,10,($AJ$610+$AJ$629+$AJ$641+$AJ$676+$AJ$700+$AJ$714+$AJ$726+$AJ$742+$AJ$754+$AJ$770+AJ781))</f>
        <v>10</v>
      </c>
      <c r="AL783" s="1965"/>
      <c r="AM783" s="1966"/>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1675</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1676</v>
      </c>
      <c r="U791" s="2078"/>
      <c r="V791" s="2078"/>
      <c r="W791" s="2078"/>
      <c r="X791" s="2078"/>
      <c r="Y791" s="2079"/>
      <c r="Z791" s="2077" t="s">
        <v>1677</v>
      </c>
      <c r="AA791" s="2078"/>
      <c r="AB791" s="2078"/>
      <c r="AC791" s="2078"/>
      <c r="AD791" s="2078"/>
      <c r="AE791" s="2079"/>
      <c r="AF791" s="2077" t="s">
        <v>1678</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764</v>
      </c>
      <c r="B793" s="2057" t="s">
        <v>1410</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1648</v>
      </c>
      <c r="B794" s="2057" t="s">
        <v>1419</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1657</v>
      </c>
      <c r="B795" s="2057" t="s">
        <v>1429</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2"/>
      <c r="AM795" s="630"/>
      <c r="AO795" s="850"/>
      <c r="AP795" s="850"/>
      <c r="AQ795" s="850"/>
    </row>
    <row r="796" spans="1:43">
      <c r="A796" s="853" t="s">
        <v>1679</v>
      </c>
      <c r="B796" s="2057" t="s">
        <v>1439</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1680</v>
      </c>
      <c r="B797" s="2057" t="s">
        <v>1681</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1682</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1683</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1467</v>
      </c>
      <c r="B800" s="2057" t="s">
        <v>1684</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1476</v>
      </c>
      <c r="B801" s="2057" t="s">
        <v>1477</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596</v>
      </c>
      <c r="B802" s="2057" t="s">
        <v>1685</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2057" t="s">
        <v>1686</v>
      </c>
      <c r="C803" s="2057"/>
      <c r="D803" s="2057"/>
      <c r="E803" s="2057"/>
      <c r="F803" s="2057"/>
      <c r="G803" s="2057"/>
      <c r="H803" s="2057"/>
      <c r="I803" s="2057"/>
      <c r="J803" s="2057"/>
      <c r="K803" s="2057"/>
      <c r="L803" s="2057"/>
      <c r="M803" s="2057"/>
      <c r="N803" s="2057"/>
      <c r="O803" s="2057"/>
      <c r="P803" s="2057"/>
      <c r="Q803" s="2057"/>
      <c r="R803" s="2057"/>
      <c r="S803" s="2058"/>
      <c r="T803" s="2083">
        <f>AK274</f>
        <v>0</v>
      </c>
      <c r="U803" s="2083"/>
      <c r="V803" s="2083"/>
      <c r="W803" s="2083"/>
      <c r="X803" s="2083"/>
      <c r="Y803" s="2083"/>
      <c r="Z803" s="2026">
        <v>10</v>
      </c>
      <c r="AA803" s="2026"/>
      <c r="AB803" s="2026"/>
      <c r="AC803" s="2026"/>
      <c r="AD803" s="2026"/>
      <c r="AE803" s="2026"/>
      <c r="AF803" s="2089">
        <f>IF(T803&gt;Z803,Z803,T803)</f>
        <v>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2057" t="s">
        <v>1487</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2057" t="s">
        <v>854</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2057" t="s">
        <v>1666</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2057" t="s">
        <v>1688</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1689</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1690</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2" t="s">
        <v>1691</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109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H70" sqref="H70"/>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51" t="s">
        <v>1692</v>
      </c>
      <c r="B1" s="2151"/>
      <c r="C1" s="2151"/>
      <c r="D1" s="2151"/>
      <c r="E1" s="2151"/>
      <c r="F1" s="2151"/>
      <c r="G1" s="2151"/>
      <c r="H1" s="2151"/>
      <c r="I1" s="2151"/>
      <c r="J1" s="2151"/>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88422960.000000015</v>
      </c>
      <c r="I3" s="1145"/>
    </row>
    <row r="4" spans="1:13" s="1086" customFormat="1" ht="20.100000000000001" customHeight="1">
      <c r="B4" s="1134"/>
      <c r="D4" s="1148"/>
      <c r="F4" s="1132" t="s">
        <v>2297</v>
      </c>
      <c r="G4" s="1131" t="s">
        <v>2296</v>
      </c>
      <c r="H4" s="1133">
        <f>I16</f>
        <v>90699754.90196079</v>
      </c>
      <c r="I4" s="1135"/>
      <c r="K4" s="1090"/>
    </row>
    <row r="5" spans="1:13" s="1086" customFormat="1" ht="20.100000000000001" customHeight="1" thickBot="1">
      <c r="B5" s="1136"/>
      <c r="C5" s="1137"/>
      <c r="D5" s="1149"/>
      <c r="E5" s="1138"/>
      <c r="F5" s="1149" t="s">
        <v>2237</v>
      </c>
      <c r="G5" s="1150"/>
      <c r="H5" s="1146">
        <f>H3/H4</f>
        <v>0.97489745254083859</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3" t="s">
        <v>2235</v>
      </c>
      <c r="C8" s="2154"/>
      <c r="D8" s="2154"/>
      <c r="E8" s="2155"/>
      <c r="G8" s="2156" t="s">
        <v>2236</v>
      </c>
      <c r="H8" s="2157"/>
      <c r="I8" s="2158"/>
      <c r="K8" s="1092"/>
    </row>
    <row r="9" spans="1:13" ht="15.05" customHeight="1">
      <c r="A9" s="1081"/>
      <c r="B9" s="2152" t="s">
        <v>2274</v>
      </c>
      <c r="C9" s="2152"/>
      <c r="D9" s="2152"/>
      <c r="E9" s="1094">
        <f>G31</f>
        <v>23800000</v>
      </c>
      <c r="G9" s="2161" t="s">
        <v>2272</v>
      </c>
      <c r="H9" s="2161"/>
      <c r="I9" s="1095">
        <f>Application!AM554</f>
        <v>105000000</v>
      </c>
      <c r="K9" s="1096"/>
      <c r="M9" s="1097"/>
    </row>
    <row r="10" spans="1:13" ht="15.05" customHeight="1" thickBot="1">
      <c r="A10" s="1081"/>
      <c r="B10" s="2152" t="s">
        <v>2275</v>
      </c>
      <c r="C10" s="2152"/>
      <c r="D10" s="2152"/>
      <c r="E10" s="1095">
        <f>G40</f>
        <v>32682960.000000011</v>
      </c>
      <c r="G10" s="2161" t="s">
        <v>2238</v>
      </c>
      <c r="H10" s="2161"/>
      <c r="I10" s="1182">
        <f>'Basis &amp; Credits'!AB78</f>
        <v>0</v>
      </c>
      <c r="M10" s="1097"/>
    </row>
    <row r="11" spans="1:13" ht="15.05" customHeight="1">
      <c r="A11" s="1098"/>
      <c r="B11" s="2152" t="s">
        <v>2276</v>
      </c>
      <c r="C11" s="2152"/>
      <c r="D11" s="2152"/>
      <c r="E11" s="1095">
        <f>G49</f>
        <v>0</v>
      </c>
      <c r="G11" s="2161" t="s">
        <v>2287</v>
      </c>
      <c r="H11" s="2161"/>
      <c r="I11" s="1181">
        <f>I9+I10</f>
        <v>105000000</v>
      </c>
      <c r="M11" s="1097"/>
    </row>
    <row r="12" spans="1:13" ht="15.05" customHeight="1">
      <c r="A12" s="1084"/>
      <c r="B12" s="2152" t="s">
        <v>2277</v>
      </c>
      <c r="C12" s="2152"/>
      <c r="D12" s="2152"/>
      <c r="E12" s="1095">
        <f>G58</f>
        <v>1000000</v>
      </c>
      <c r="G12" s="1183" t="s">
        <v>2312</v>
      </c>
      <c r="H12" s="1184"/>
      <c r="M12" s="1097"/>
    </row>
    <row r="13" spans="1:13" ht="15.05" customHeight="1">
      <c r="A13" s="1081"/>
      <c r="B13" s="2152" t="s">
        <v>2278</v>
      </c>
      <c r="C13" s="2152"/>
      <c r="D13" s="2152"/>
      <c r="E13" s="1100">
        <f>G83</f>
        <v>30940000</v>
      </c>
      <c r="G13" s="2162" t="s">
        <v>139</v>
      </c>
      <c r="H13" s="2162"/>
      <c r="I13" s="1099">
        <f>15%*(AND(G111="Yes",G113&lt;&gt;""))</f>
        <v>0</v>
      </c>
      <c r="M13" s="1097"/>
    </row>
    <row r="14" spans="1:13" ht="15.05" customHeight="1">
      <c r="A14" s="1081"/>
      <c r="B14" s="2152" t="s">
        <v>2279</v>
      </c>
      <c r="C14" s="2152"/>
      <c r="D14" s="2152"/>
      <c r="E14" s="1095">
        <f>IF(G96&gt;G106,G96,0)</f>
        <v>0</v>
      </c>
      <c r="G14" s="1179" t="s">
        <v>2288</v>
      </c>
      <c r="H14" s="1179"/>
      <c r="I14" s="1099">
        <f>IF(Application!AJ1031&gt;0,10%,IF(Application!AJ1035&gt;0,5%,0))</f>
        <v>0.05</v>
      </c>
      <c r="M14" s="1097"/>
    </row>
    <row r="15" spans="1:13" ht="15.05" customHeight="1" thickBot="1">
      <c r="A15" s="1081"/>
      <c r="B15" s="2159" t="s">
        <v>2298</v>
      </c>
      <c r="C15" s="2159"/>
      <c r="D15" s="2159"/>
      <c r="E15" s="1151">
        <f>IF(E14&gt;0,0,G106)</f>
        <v>0</v>
      </c>
      <c r="G15" s="2165" t="s">
        <v>2289</v>
      </c>
      <c r="H15" s="2166"/>
      <c r="I15" s="1153">
        <f>G123</f>
        <v>8.6192810457516339E-2</v>
      </c>
      <c r="M15" s="1097"/>
    </row>
    <row r="16" spans="1:13" ht="15.05" customHeight="1">
      <c r="A16" s="1081"/>
      <c r="B16" s="2160" t="s">
        <v>2234</v>
      </c>
      <c r="C16" s="2160"/>
      <c r="D16" s="2160"/>
      <c r="E16" s="1152">
        <f>SUM(E9:E15)</f>
        <v>88422960.000000015</v>
      </c>
      <c r="G16" s="1180" t="s">
        <v>2273</v>
      </c>
      <c r="H16" s="1180"/>
      <c r="I16" s="1154">
        <f>I11-((I11*I13)+(I11*I14)+(I11*I15))</f>
        <v>90699754.90196079</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476</v>
      </c>
      <c r="O18" s="1124" t="s">
        <v>589</v>
      </c>
      <c r="P18" s="1079">
        <f>MATCH(Application!T189,Application!BV490:BV547,0)</f>
        <v>1</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63" t="s">
        <v>2291</v>
      </c>
      <c r="D20" s="2163" t="s">
        <v>2292</v>
      </c>
      <c r="E20" s="2163" t="s">
        <v>2293</v>
      </c>
      <c r="F20" s="2163" t="s">
        <v>2294</v>
      </c>
      <c r="G20" s="2163" t="s">
        <v>2290</v>
      </c>
      <c r="H20" s="1108"/>
      <c r="I20" s="1107"/>
      <c r="L20" s="1079">
        <f>IFERROR(MIN(4,MATCH(Application!B718,UnitSizes,0)-1),"")</f>
        <v>1</v>
      </c>
      <c r="M20" s="1101">
        <f>Application!G718</f>
        <v>50</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4"/>
      <c r="D21" s="2164"/>
      <c r="E21" s="2164"/>
      <c r="F21" s="2164"/>
      <c r="G21" s="2164"/>
      <c r="H21" s="1108"/>
      <c r="I21" s="1107"/>
      <c r="L21" s="1079">
        <f>IFERROR(MIN(4,MATCH(Application!B719,UnitSizes,0)-1),"")</f>
        <v>1</v>
      </c>
      <c r="M21" s="1101">
        <f>Application!G719</f>
        <v>50</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180</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476</v>
      </c>
      <c r="F23" s="1110">
        <f>E23</f>
        <v>476</v>
      </c>
      <c r="G23" s="1110">
        <f>D23*F23</f>
        <v>476</v>
      </c>
      <c r="L23" s="1079">
        <f>IFERROR(MIN(4,MATCH(Application!B721,UnitSizes,0)-1),"")</f>
        <v>1</v>
      </c>
      <c r="M23" s="1101">
        <f>Application!G721</f>
        <v>196</v>
      </c>
      <c r="N23" s="1109">
        <f>Application!AC721</f>
        <v>0.7</v>
      </c>
      <c r="O23" s="1109">
        <f>IF(Cdlac[[#This Row],[Quantity]]&gt;0,IF(Cdlac[[#This Row],[Federal]],30%,IF($G$36,40%,Cdlac[[#This Row],[iAMI]])),"")</f>
        <v>0.7</v>
      </c>
      <c r="P23" s="1101" cm="1">
        <f t="array" ref="P23">IF(Cdlac[[#This Row],[Quantity]]&gt;0,INDEX(TcacRents,$P$18,Cdlac[[#This Row],[Bedrooms]]+1)*Cdlac[[#This Row],[AMI]],"")</f>
        <v>2043.9999999999998</v>
      </c>
      <c r="Q23" s="1101" cm="1">
        <f t="array" ref="Q23">IF(Cdlac[[#This Row],[Quantity]]&gt;0,INDEX(HudFmrs,$P$18,Cdlac[[#This Row],[Bedrooms]]+1),"")</f>
        <v>2131</v>
      </c>
      <c r="R23" s="1101">
        <f>IF(Cdlac[[#This Row],[Quantity]]&gt;0,MAX(0,Cdlac[[#This Row],[Fair Market Rent]]-Cdlac[[#This Row],[Restricted Rent]]),"")</f>
        <v>87.000000000000227</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05" customHeight="1">
      <c r="A27" s="1112"/>
      <c r="C27" s="2147" t="s">
        <v>1693</v>
      </c>
      <c r="D27" s="2148"/>
      <c r="E27" s="1129">
        <f>SUM(E22:E26)</f>
        <v>476</v>
      </c>
      <c r="F27" s="1129">
        <f>SUM(F22:F26)</f>
        <v>476</v>
      </c>
      <c r="G27" s="1130">
        <f>SUMPRODUCT(D22:D26,F22:F26)</f>
        <v>476</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05" customHeight="1">
      <c r="A29" s="1112"/>
      <c r="E29" s="1159" t="s">
        <v>2290</v>
      </c>
      <c r="G29" s="1156">
        <f>G27</f>
        <v>476</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05" customHeight="1">
      <c r="A31" s="1112"/>
      <c r="E31" s="1160" t="s">
        <v>2283</v>
      </c>
      <c r="F31" s="1081"/>
      <c r="G31" s="1161">
        <f>G30*G29</f>
        <v>23800000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0.5991596638655462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181572.00000000006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32682960.000000011</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238</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50</v>
      </c>
    </row>
    <row r="54" spans="2:14" ht="15.05" customHeight="1">
      <c r="E54" s="1159" t="s">
        <v>2301</v>
      </c>
      <c r="G54" s="1117">
        <f>ROUNDDOWN(E27*50%,0)</f>
        <v>238</v>
      </c>
    </row>
    <row r="55" spans="2:14" ht="15.05" customHeight="1">
      <c r="E55" s="1159"/>
      <c r="G55" s="1117"/>
    </row>
    <row r="56" spans="2:14" ht="15.05" customHeight="1">
      <c r="E56" s="1159" t="s">
        <v>2252</v>
      </c>
      <c r="G56" s="1156">
        <f>MIN(G53:G54)</f>
        <v>50</v>
      </c>
    </row>
    <row r="57" spans="2:14" ht="15.05" customHeight="1">
      <c r="E57" s="1159" t="s">
        <v>2242</v>
      </c>
      <c r="F57" s="1155" t="s">
        <v>2299</v>
      </c>
      <c r="G57" s="1166">
        <v>20000</v>
      </c>
    </row>
    <row r="58" spans="2:14" ht="15.05" customHeight="1">
      <c r="E58" s="1160" t="s">
        <v>2281</v>
      </c>
      <c r="F58" s="1081"/>
      <c r="G58" s="1165">
        <f>G56*G57</f>
        <v>1000000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v>
      </c>
      <c r="M62" s="2149" t="s">
        <v>1511</v>
      </c>
      <c r="N62" s="2150"/>
    </row>
    <row r="63" spans="2:14" ht="15.05" customHeight="1">
      <c r="E63" s="1124" t="s">
        <v>2242</v>
      </c>
      <c r="F63" s="1155" t="s">
        <v>2299</v>
      </c>
      <c r="G63" s="1114">
        <v>4000</v>
      </c>
      <c r="L63" s="1170" t="str">
        <f>'Points System'!H639</f>
        <v>N/A</v>
      </c>
      <c r="M63" s="2141" t="s">
        <v>2256</v>
      </c>
      <c r="N63" s="2142"/>
    </row>
    <row r="64" spans="2:14" ht="15.05" customHeight="1">
      <c r="E64" s="1124" t="s">
        <v>2303</v>
      </c>
      <c r="F64" s="1155" t="s">
        <v>2299</v>
      </c>
      <c r="G64" s="1168">
        <f>G27</f>
        <v>476</v>
      </c>
      <c r="L64" s="1170" t="str">
        <f>'Points System'!H674</f>
        <v>(i)</v>
      </c>
      <c r="M64" s="2141" t="s">
        <v>2257</v>
      </c>
      <c r="N64" s="2142"/>
    </row>
    <row r="65" spans="2:14" ht="15.05" customHeight="1">
      <c r="E65" s="1160" t="s">
        <v>2261</v>
      </c>
      <c r="F65" s="1081"/>
      <c r="G65" s="1165">
        <f>G62*G63*G64</f>
        <v>13328000</v>
      </c>
      <c r="L65" s="1170" t="str">
        <f>IF(OR('Points System'!H698="(ii)",'Points System'!H698="(i)"),"(i)","N/A")</f>
        <v>N/A</v>
      </c>
      <c r="M65" s="2141" t="s">
        <v>2258</v>
      </c>
      <c r="N65" s="2142"/>
    </row>
    <row r="66" spans="2:14" ht="15.05" customHeight="1">
      <c r="C66" s="1115"/>
      <c r="G66" s="1156"/>
      <c r="L66" s="1171" t="str">
        <f>'Points System'!H712</f>
        <v>N/A</v>
      </c>
      <c r="M66" s="2141" t="s">
        <v>1537</v>
      </c>
      <c r="N66" s="2142"/>
    </row>
    <row r="67" spans="2:14" ht="15.05" customHeight="1">
      <c r="E67" s="1124" t="s">
        <v>2304</v>
      </c>
      <c r="G67" s="1168">
        <f>COUNTIFS(L62:L69,"(i)")</f>
        <v>3</v>
      </c>
      <c r="L67" s="1170" t="str">
        <f>'Points System'!H724</f>
        <v>N/A</v>
      </c>
      <c r="M67" s="2141" t="s">
        <v>2259</v>
      </c>
      <c r="N67" s="2142"/>
    </row>
    <row r="68" spans="2:14" ht="15.05" customHeight="1">
      <c r="E68" s="1124" t="s">
        <v>2242</v>
      </c>
      <c r="F68" s="1155" t="s">
        <v>2299</v>
      </c>
      <c r="G68" s="1166">
        <v>4000</v>
      </c>
      <c r="L68" s="1170" t="str">
        <f>'Points System'!H740</f>
        <v>N/A</v>
      </c>
      <c r="M68" s="2141" t="s">
        <v>2260</v>
      </c>
      <c r="N68" s="2142"/>
    </row>
    <row r="69" spans="2:14" ht="15.05" customHeight="1" thickBot="1">
      <c r="E69" s="1160" t="s">
        <v>2262</v>
      </c>
      <c r="F69" s="1081"/>
      <c r="G69" s="1165">
        <f>G64*G67*G68</f>
        <v>5712000</v>
      </c>
      <c r="L69" s="1172" t="str">
        <f>'Points System'!H752</f>
        <v>(i)</v>
      </c>
      <c r="M69" s="2143" t="s">
        <v>1540</v>
      </c>
      <c r="N69" s="214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476</v>
      </c>
    </row>
    <row r="80" spans="2:14" ht="15.05" customHeight="1">
      <c r="E80" s="1124" t="s">
        <v>2242</v>
      </c>
      <c r="F80" s="1155" t="s">
        <v>2299</v>
      </c>
      <c r="G80" s="1166">
        <v>25000</v>
      </c>
    </row>
    <row r="81" spans="2:14" ht="15.05" customHeight="1">
      <c r="E81" s="1160" t="s">
        <v>2263</v>
      </c>
      <c r="F81" s="1081"/>
      <c r="G81" s="1165">
        <f>G77*G80*G64</f>
        <v>11900000</v>
      </c>
    </row>
    <row r="82" spans="2:14" ht="15.05" customHeight="1">
      <c r="C82" s="1115"/>
      <c r="E82" s="1115"/>
    </row>
    <row r="83" spans="2:14" ht="15.05" customHeight="1">
      <c r="E83" s="1160" t="s">
        <v>2240</v>
      </c>
      <c r="G83" s="1165">
        <f>G81+G69+G65</f>
        <v>30940000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45" t="s">
        <v>2269</v>
      </c>
      <c r="M87" s="2146"/>
      <c r="N87" s="1173">
        <v>30000</v>
      </c>
    </row>
    <row r="88" spans="2:14" ht="15.05" customHeight="1">
      <c r="C88" s="1115" t="s">
        <v>2286</v>
      </c>
      <c r="G88" s="1119" t="str">
        <f>IF(Application!D211="Large Family","Yes","No")</f>
        <v>No</v>
      </c>
      <c r="L88" s="2137" t="s">
        <v>2233</v>
      </c>
      <c r="M88" s="2138"/>
      <c r="N88" s="1174">
        <v>20000</v>
      </c>
    </row>
    <row r="89" spans="2:14" ht="15.05" customHeight="1" thickBot="1">
      <c r="C89" s="1115" t="s">
        <v>2267</v>
      </c>
      <c r="G89" s="1078"/>
      <c r="L89" s="2139" t="s">
        <v>2270</v>
      </c>
      <c r="M89" s="2140"/>
      <c r="N89" s="1175">
        <v>10000</v>
      </c>
    </row>
    <row r="90" spans="2:14" ht="15.05" customHeight="1">
      <c r="C90" s="1115" t="s">
        <v>2268</v>
      </c>
      <c r="G90" s="1079" t="str">
        <f>Application!T193</f>
        <v>Moderate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10000</v>
      </c>
    </row>
    <row r="95" spans="2:14" ht="15.05" customHeight="1">
      <c r="E95" s="1124" t="str">
        <f>E64</f>
        <v>Bedroom-Adjusted Low-Income Units</v>
      </c>
      <c r="F95" s="1155" t="s">
        <v>2299</v>
      </c>
      <c r="G95" s="1156">
        <f>G27</f>
        <v>476</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476</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4" t="s">
        <v>2634</v>
      </c>
      <c r="D110" s="2134"/>
      <c r="E110" s="2134"/>
      <c r="F110" s="2134"/>
    </row>
    <row r="111" spans="2:9" ht="15.05" customHeight="1">
      <c r="C111" s="2134"/>
      <c r="D111" s="2134"/>
      <c r="E111" s="2134"/>
      <c r="F111" s="2134"/>
      <c r="G111" s="1078"/>
    </row>
    <row r="112" spans="2:9" ht="15.05" customHeight="1"/>
    <row r="113" spans="2:9" ht="15.05" customHeight="1">
      <c r="C113" s="1079" t="s">
        <v>2637</v>
      </c>
      <c r="G113" s="2135"/>
      <c r="H113" s="2135"/>
    </row>
    <row r="114" spans="2:9" ht="15.05" customHeight="1">
      <c r="G114" s="2135"/>
      <c r="H114" s="2135"/>
    </row>
    <row r="115" spans="2:9" ht="15.05" customHeight="1">
      <c r="G115" s="2136"/>
      <c r="H115" s="2136"/>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Alameda</v>
      </c>
    </row>
    <row r="120" spans="2:9" ht="15.05" customHeight="1">
      <c r="E120" s="1124"/>
      <c r="G120" s="1116"/>
    </row>
    <row r="121" spans="2:9" ht="15.05" customHeight="1">
      <c r="E121" s="1124" t="str">
        <f>"2-Bedroom "&amp;G119&amp;" County Basis Limit"</f>
        <v>2-Bedroom Alameda County Basis Limit</v>
      </c>
      <c r="G121" s="1116">
        <f>Application!R987</f>
        <v>658400</v>
      </c>
    </row>
    <row r="122" spans="2:9" ht="15.05" customHeight="1">
      <c r="E122" s="1124" t="s">
        <v>2307</v>
      </c>
      <c r="G122" s="1116">
        <f>MEDIAN((Application!BR806:BR863))</f>
        <v>489600</v>
      </c>
    </row>
    <row r="123" spans="2:9" ht="15.05" customHeight="1">
      <c r="D123" s="1081"/>
      <c r="E123" s="1160" t="s">
        <v>2309</v>
      </c>
      <c r="F123" s="1176"/>
      <c r="G123" s="1177">
        <f>((G121-G122)/G122)*0.25</f>
        <v>8.6192810457516339E-2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2024-08-07T17:49:35Z</cp:lastPrinted>
  <dcterms:created xsi:type="dcterms:W3CDTF">2007-12-27T18:26:28Z</dcterms:created>
  <dcterms:modified xsi:type="dcterms:W3CDTF">2024-08-26T14:11:54Z</dcterms:modified>
</cp:coreProperties>
</file>